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Budget Sheet (2)" sheetId="1" r:id="rId1"/>
  </sheets>
  <calcPr calcId="124519"/>
</workbook>
</file>

<file path=xl/calcChain.xml><?xml version="1.0" encoding="utf-8"?>
<calcChain xmlns="http://schemas.openxmlformats.org/spreadsheetml/2006/main">
  <c r="C8" i="1"/>
  <c r="H36"/>
  <c r="G43"/>
  <c r="G44"/>
  <c r="G30"/>
  <c r="G29"/>
  <c r="G28"/>
  <c r="G33"/>
  <c r="G34"/>
  <c r="G22"/>
  <c r="G23"/>
  <c r="G20"/>
  <c r="G19"/>
  <c r="G14"/>
  <c r="G13"/>
  <c r="L20"/>
  <c r="L14"/>
  <c r="J36"/>
  <c r="D30" l="1"/>
  <c r="D29"/>
  <c r="H30"/>
  <c r="H29"/>
  <c r="H22"/>
  <c r="H18"/>
  <c r="H45"/>
  <c r="H44"/>
  <c r="H43"/>
  <c r="H42"/>
  <c r="H41"/>
  <c r="H35"/>
  <c r="H34"/>
  <c r="H33"/>
  <c r="H32"/>
  <c r="H28"/>
  <c r="H23"/>
  <c r="H21"/>
  <c r="H20"/>
  <c r="H19"/>
  <c r="H17"/>
  <c r="H16"/>
  <c r="H15"/>
  <c r="H14"/>
  <c r="H13"/>
  <c r="E45"/>
  <c r="E44"/>
  <c r="E43"/>
  <c r="E42"/>
  <c r="E41"/>
  <c r="E36"/>
  <c r="E35"/>
  <c r="E34"/>
  <c r="E33"/>
  <c r="E32"/>
  <c r="E30"/>
  <c r="E29"/>
  <c r="E28"/>
  <c r="E23"/>
  <c r="E22"/>
  <c r="E21"/>
  <c r="E20"/>
  <c r="E19"/>
  <c r="E18"/>
  <c r="E17"/>
  <c r="E16"/>
  <c r="E15"/>
  <c r="E14"/>
  <c r="E13"/>
  <c r="H46" l="1"/>
  <c r="H37"/>
  <c r="H24"/>
  <c r="K24"/>
  <c r="K37"/>
  <c r="K46"/>
  <c r="K47" s="1"/>
  <c r="K16"/>
  <c r="K15"/>
  <c r="L24"/>
  <c r="L35"/>
  <c r="M24"/>
  <c r="G24"/>
  <c r="M37"/>
  <c r="L37"/>
  <c r="G37"/>
  <c r="M46"/>
  <c r="L46"/>
  <c r="G46"/>
  <c r="M47"/>
  <c r="L17"/>
  <c r="L41"/>
  <c r="M17"/>
  <c r="G47" l="1"/>
  <c r="H47"/>
  <c r="L47"/>
  <c r="D45" l="1"/>
  <c r="D44"/>
  <c r="D43"/>
  <c r="D42"/>
  <c r="D41"/>
  <c r="D36"/>
  <c r="D35"/>
  <c r="D34"/>
  <c r="D33"/>
  <c r="D32"/>
  <c r="D28"/>
  <c r="E37" s="1"/>
  <c r="D23"/>
  <c r="D22"/>
  <c r="D21"/>
  <c r="D20"/>
  <c r="D19"/>
  <c r="D15"/>
  <c r="D18"/>
  <c r="D16"/>
  <c r="D17"/>
  <c r="D14"/>
  <c r="D13"/>
  <c r="E24" l="1"/>
  <c r="D46"/>
  <c r="E46"/>
  <c r="D37"/>
  <c r="D24"/>
  <c r="E47" l="1"/>
  <c r="D47"/>
</calcChain>
</file>

<file path=xl/sharedStrings.xml><?xml version="1.0" encoding="utf-8"?>
<sst xmlns="http://schemas.openxmlformats.org/spreadsheetml/2006/main" count="120" uniqueCount="90">
  <si>
    <t>Budget Head</t>
  </si>
  <si>
    <t>Remarks</t>
  </si>
  <si>
    <t>This is the informal education provided by Jamghat's Educators to 30-50 children in the centre.</t>
  </si>
  <si>
    <t>Food</t>
  </si>
  <si>
    <t>Medical expenses</t>
  </si>
  <si>
    <t>Major Medical Emergency</t>
  </si>
  <si>
    <t>Counseling</t>
  </si>
  <si>
    <t>Clothes</t>
  </si>
  <si>
    <t>Purchased every six months - 2 sets of summer/ winter clothes with shoes/slippers etc.</t>
  </si>
  <si>
    <t>Toiletry</t>
  </si>
  <si>
    <t>Sub Total A</t>
  </si>
  <si>
    <t>Programme Head - Aangan</t>
  </si>
  <si>
    <t>Director</t>
  </si>
  <si>
    <t>Sub Total B</t>
  </si>
  <si>
    <t>Maintenance</t>
  </si>
  <si>
    <t>Accountant costs</t>
  </si>
  <si>
    <t>Communication</t>
  </si>
  <si>
    <t>Miscellaneous</t>
  </si>
  <si>
    <t>Sub Total C</t>
  </si>
  <si>
    <t>Total Budgetary Allocation (A+B+C)</t>
  </si>
  <si>
    <t>ADMINISTRATION COST</t>
  </si>
  <si>
    <t>HUMAN RESOURCES (SALARIES)</t>
  </si>
  <si>
    <t>PROGRAMS COST (ACTIVITIES)</t>
  </si>
  <si>
    <t>Name of Project: AANGAN - DAY CARE CENTRE</t>
  </si>
  <si>
    <t>Programme Head - Jamghat</t>
  </si>
  <si>
    <t>Driver</t>
  </si>
  <si>
    <t>Supervisor - Aangan</t>
  </si>
  <si>
    <t>Coordinator - Aangan</t>
  </si>
  <si>
    <t>Educator - Aangan</t>
  </si>
  <si>
    <t>Care taker + Cook - Aangan</t>
  </si>
  <si>
    <t>Divided among all three budgets for Jamghat's three centres</t>
  </si>
  <si>
    <t>Educational outings &amp; picnics</t>
  </si>
  <si>
    <t>Teaching &amp; Learning material</t>
  </si>
  <si>
    <t>Unit</t>
  </si>
  <si>
    <t>40 children</t>
  </si>
  <si>
    <t>40X12@Rs.100</t>
  </si>
  <si>
    <t>Calculation</t>
  </si>
  <si>
    <t>1 centre @ Rs. 17000</t>
  </si>
  <si>
    <t>1X12@Rs.17000</t>
  </si>
  <si>
    <t>Rent for space for conducting classes, providing bathing &amp; Toilet facilities to street children</t>
  </si>
  <si>
    <t>40 children @ Rs. 20 per day/child</t>
  </si>
  <si>
    <t>40X312 days @ Rs.20</t>
  </si>
  <si>
    <t>1 centre @ Rs. 5000 per year</t>
  </si>
  <si>
    <t>1@Rs.5000</t>
  </si>
  <si>
    <t>Formal Education (Regular schools &amp; admission in National School of Open Learning)</t>
  </si>
  <si>
    <t>10 children @ Rs. 1200 per child</t>
  </si>
  <si>
    <t>10X12 @ Rs.1200</t>
  </si>
  <si>
    <t>40X4@Rs.300</t>
  </si>
  <si>
    <t>40 @ Rs. 50 per month/child</t>
  </si>
  <si>
    <t>40X12 @Rs.50</t>
  </si>
  <si>
    <t>12months @Rs.2000</t>
  </si>
  <si>
    <t>50 children @ Rs. 2000 per month</t>
  </si>
  <si>
    <t>12 @ Rs. 7000</t>
  </si>
  <si>
    <t>Twice a year @ Rs.500 per child</t>
  </si>
  <si>
    <t>2X40 @ Rs.500</t>
  </si>
  <si>
    <t>40X12 @ Rs.70</t>
  </si>
  <si>
    <t>40 @ Rs.70 per child</t>
  </si>
  <si>
    <t>12 months X 3 centres @ Rs. 9167 per centre</t>
  </si>
  <si>
    <t>1 @ Rs. 18700</t>
  </si>
  <si>
    <t>1 @ Rs. 9350</t>
  </si>
  <si>
    <t>1 @ Rs. 7700</t>
  </si>
  <si>
    <t>1 centre</t>
  </si>
  <si>
    <t>12 months @ Rs. 1000</t>
  </si>
  <si>
    <t>12 months @ Rs. 5000</t>
  </si>
  <si>
    <t>12 months @ Rs. 1500</t>
  </si>
  <si>
    <t>40 children, 4 in a year @ Rs.300 per child</t>
  </si>
  <si>
    <t>Budget (FY 2012-13)</t>
  </si>
  <si>
    <t>Yearly Amount (USD)</t>
  </si>
  <si>
    <t>Yearly Amount (INR)</t>
  </si>
  <si>
    <t>Installation/maintenance of study furniture, mats, individual lockers for children etc.</t>
  </si>
  <si>
    <t>All figures are in Indian rupees</t>
  </si>
  <si>
    <t>The centre has children numbering between 30-50 children everyday. Costs are calculated considering an avergae of 40 children everyday.</t>
  </si>
  <si>
    <t>Includes breakfast, luch &amp; evening snacks provided to all children in centre</t>
  </si>
  <si>
    <t>Proposed budget for Asha - Sta. Louise</t>
  </si>
  <si>
    <t>Funds from Delhi West Round table 50 - Rs. 15000 p.m.</t>
  </si>
  <si>
    <t>Funds from Max India Foundation - Rs. 24500 p.m.</t>
  </si>
  <si>
    <t>Funds from Royal Bak of Scotland (through CAF) - Rs. 184000</t>
  </si>
  <si>
    <t>INR</t>
  </si>
  <si>
    <t>USD</t>
  </si>
  <si>
    <t>12 months X 3 centres @ Rs. 6234 per centre</t>
  </si>
  <si>
    <t>12 months X 3 centres @ Rs. 2567 per centre</t>
  </si>
  <si>
    <t>Funds from iPartner</t>
  </si>
  <si>
    <t>Office Travel</t>
  </si>
  <si>
    <t>Budget Amount</t>
  </si>
  <si>
    <t>In INR</t>
  </si>
  <si>
    <t>In USD</t>
  </si>
  <si>
    <t>for 8 months</t>
  </si>
  <si>
    <t>-</t>
  </si>
  <si>
    <t>for one quarter</t>
  </si>
  <si>
    <t>Note: The centre receives some monthly donations from individuals, not exceeding Rs. 23000 per month.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</si>
</sst>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indexed="8"/>
      <name val="Palatino Linotype"/>
      <family val="1"/>
    </font>
    <font>
      <b/>
      <i/>
      <sz val="10"/>
      <color indexed="8"/>
      <name val="Calibri"/>
      <family val="2"/>
    </font>
    <font>
      <b/>
      <sz val="9"/>
      <name val="Calibri"/>
      <family val="2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3" xfId="0" applyFont="1" applyBorder="1"/>
    <xf numFmtId="0" fontId="3" fillId="0" borderId="1" xfId="0" applyFont="1" applyBorder="1"/>
    <xf numFmtId="0" fontId="3" fillId="4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Fill="1" applyBorder="1" applyAlignment="1">
      <alignment wrapText="1"/>
    </xf>
    <xf numFmtId="0" fontId="4" fillId="0" borderId="4" xfId="0" applyFont="1" applyBorder="1"/>
    <xf numFmtId="0" fontId="4" fillId="5" borderId="6" xfId="0" applyFont="1" applyFill="1" applyBorder="1" applyAlignment="1">
      <alignment wrapText="1"/>
    </xf>
    <xf numFmtId="0" fontId="4" fillId="5" borderId="7" xfId="0" applyFont="1" applyFill="1" applyBorder="1"/>
    <xf numFmtId="0" fontId="4" fillId="8" borderId="6" xfId="0" applyFont="1" applyFill="1" applyBorder="1" applyAlignment="1">
      <alignment wrapText="1"/>
    </xf>
    <xf numFmtId="0" fontId="4" fillId="8" borderId="8" xfId="0" applyFont="1" applyFill="1" applyBorder="1"/>
    <xf numFmtId="0" fontId="4" fillId="8" borderId="7" xfId="0" applyFont="1" applyFill="1" applyBorder="1"/>
    <xf numFmtId="0" fontId="5" fillId="4" borderId="4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8" fillId="0" borderId="0" xfId="0" applyFont="1"/>
    <xf numFmtId="0" fontId="3" fillId="3" borderId="1" xfId="0" applyFont="1" applyFill="1" applyBorder="1"/>
    <xf numFmtId="0" fontId="2" fillId="3" borderId="5" xfId="0" applyFont="1" applyFill="1" applyBorder="1" applyAlignment="1">
      <alignment horizontal="center" wrapText="1"/>
    </xf>
    <xf numFmtId="0" fontId="3" fillId="0" borderId="0" xfId="0" applyFont="1" applyBorder="1"/>
    <xf numFmtId="0" fontId="3" fillId="3" borderId="1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wrapText="1"/>
    </xf>
    <xf numFmtId="0" fontId="2" fillId="0" borderId="4" xfId="0" applyFont="1" applyBorder="1"/>
    <xf numFmtId="0" fontId="6" fillId="0" borderId="4" xfId="0" applyFont="1" applyBorder="1" applyAlignment="1">
      <alignment horizontal="center"/>
    </xf>
    <xf numFmtId="0" fontId="4" fillId="11" borderId="4" xfId="0" applyFont="1" applyFill="1" applyBorder="1"/>
    <xf numFmtId="0" fontId="3" fillId="11" borderId="1" xfId="0" applyFont="1" applyFill="1" applyBorder="1"/>
    <xf numFmtId="0" fontId="3" fillId="11" borderId="1" xfId="0" applyFont="1" applyFill="1" applyBorder="1" applyAlignment="1">
      <alignment horizontal="center" wrapText="1"/>
    </xf>
    <xf numFmtId="0" fontId="2" fillId="11" borderId="5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2" fillId="11" borderId="1" xfId="0" applyFont="1" applyFill="1" applyBorder="1" applyAlignment="1">
      <alignment wrapText="1"/>
    </xf>
    <xf numFmtId="0" fontId="3" fillId="11" borderId="5" xfId="0" applyFont="1" applyFill="1" applyBorder="1"/>
    <xf numFmtId="0" fontId="2" fillId="11" borderId="4" xfId="0" applyFont="1" applyFill="1" applyBorder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1" fillId="0" borderId="0" xfId="0" applyFont="1"/>
    <xf numFmtId="0" fontId="9" fillId="11" borderId="8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9" borderId="0" xfId="0" applyFont="1" applyFill="1" applyAlignment="1">
      <alignment horizontal="left"/>
    </xf>
    <xf numFmtId="0" fontId="3" fillId="10" borderId="1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zoomScale="115" workbookViewId="0">
      <selection sqref="A1:F1"/>
    </sheetView>
  </sheetViews>
  <sheetFormatPr defaultRowHeight="12"/>
  <cols>
    <col min="1" max="1" width="25.5703125" style="2" customWidth="1"/>
    <col min="2" max="2" width="14.7109375" style="2" customWidth="1"/>
    <col min="3" max="3" width="16.28515625" style="2" customWidth="1"/>
    <col min="4" max="5" width="7.5703125" style="2" customWidth="1"/>
    <col min="6" max="6" width="24.7109375" style="2" customWidth="1"/>
    <col min="7" max="8" width="7.42578125" style="2" customWidth="1"/>
    <col min="9" max="9" width="9.7109375" style="2" customWidth="1"/>
    <col min="10" max="10" width="7" style="2" customWidth="1"/>
    <col min="11" max="13" width="10.85546875" style="2" customWidth="1"/>
    <col min="14" max="16384" width="9.140625" style="2"/>
  </cols>
  <sheetData>
    <row r="1" spans="1:13" ht="18">
      <c r="A1" s="56" t="s">
        <v>66</v>
      </c>
      <c r="B1" s="57"/>
      <c r="C1" s="57"/>
      <c r="D1" s="57"/>
      <c r="E1" s="57"/>
      <c r="F1" s="58"/>
    </row>
    <row r="2" spans="1:13" ht="18">
      <c r="A2" s="56" t="s">
        <v>23</v>
      </c>
      <c r="B2" s="57"/>
      <c r="C2" s="57"/>
      <c r="D2" s="57"/>
      <c r="E2" s="57"/>
      <c r="F2" s="58"/>
    </row>
    <row r="4" spans="1:13" ht="12.75">
      <c r="A4" s="33" t="s">
        <v>70</v>
      </c>
    </row>
    <row r="5" spans="1:13" ht="12.75">
      <c r="A5" s="33" t="s">
        <v>71</v>
      </c>
    </row>
    <row r="6" spans="1:13" ht="12.75">
      <c r="A6" s="33"/>
    </row>
    <row r="7" spans="1:13" ht="12.75" customHeight="1">
      <c r="A7" s="55" t="s">
        <v>83</v>
      </c>
      <c r="B7" s="50" t="s">
        <v>85</v>
      </c>
      <c r="C7" s="50" t="s">
        <v>84</v>
      </c>
    </row>
    <row r="8" spans="1:13" ht="12.75" customHeight="1">
      <c r="A8" s="55"/>
      <c r="B8" s="51">
        <v>10000</v>
      </c>
      <c r="C8" s="50">
        <f>10000*48</f>
        <v>480000</v>
      </c>
    </row>
    <row r="9" spans="1:13" ht="12.75" thickBot="1">
      <c r="A9" s="1"/>
      <c r="F9" s="5"/>
      <c r="G9" s="5"/>
      <c r="H9" s="5"/>
      <c r="I9" s="36"/>
      <c r="J9" s="36"/>
      <c r="K9" s="36"/>
      <c r="L9" s="36"/>
    </row>
    <row r="10" spans="1:13" s="52" customFormat="1" ht="60.75" thickBot="1">
      <c r="A10" s="61" t="s">
        <v>0</v>
      </c>
      <c r="B10" s="62" t="s">
        <v>33</v>
      </c>
      <c r="C10" s="62" t="s">
        <v>36</v>
      </c>
      <c r="D10" s="62" t="s">
        <v>68</v>
      </c>
      <c r="E10" s="62" t="s">
        <v>67</v>
      </c>
      <c r="F10" s="63" t="s">
        <v>1</v>
      </c>
      <c r="G10" s="53" t="s">
        <v>73</v>
      </c>
      <c r="H10" s="54"/>
      <c r="I10" s="64" t="s">
        <v>1</v>
      </c>
      <c r="J10" s="65" t="s">
        <v>81</v>
      </c>
      <c r="K10" s="63" t="s">
        <v>76</v>
      </c>
      <c r="L10" s="63" t="s">
        <v>75</v>
      </c>
      <c r="M10" s="63" t="s">
        <v>74</v>
      </c>
    </row>
    <row r="11" spans="1:13" ht="12.75">
      <c r="A11" s="22" t="s">
        <v>22</v>
      </c>
      <c r="B11" s="13"/>
      <c r="C11" s="13"/>
      <c r="D11" s="13"/>
      <c r="E11" s="13"/>
      <c r="F11" s="13"/>
      <c r="G11" s="46" t="s">
        <v>77</v>
      </c>
      <c r="H11" s="46" t="s">
        <v>78</v>
      </c>
      <c r="I11" s="46"/>
      <c r="J11" s="40"/>
      <c r="K11" s="13"/>
      <c r="L11" s="13"/>
      <c r="M11" s="13"/>
    </row>
    <row r="12" spans="1:13">
      <c r="A12" s="7"/>
      <c r="B12" s="6"/>
      <c r="C12" s="6"/>
      <c r="D12" s="6"/>
      <c r="E12" s="6"/>
      <c r="F12" s="6"/>
      <c r="G12" s="42"/>
      <c r="H12" s="42"/>
      <c r="I12" s="42"/>
      <c r="J12" s="34"/>
      <c r="K12" s="34"/>
      <c r="L12" s="34"/>
      <c r="M12" s="34"/>
    </row>
    <row r="13" spans="1:13" ht="36" customHeight="1">
      <c r="A13" s="3" t="s">
        <v>32</v>
      </c>
      <c r="B13" s="26" t="s">
        <v>34</v>
      </c>
      <c r="C13" s="27" t="s">
        <v>35</v>
      </c>
      <c r="D13" s="27">
        <f>40*12*100</f>
        <v>48000</v>
      </c>
      <c r="E13" s="27">
        <f>D13/48</f>
        <v>1000</v>
      </c>
      <c r="F13" s="32" t="s">
        <v>2</v>
      </c>
      <c r="G13" s="45">
        <f>40*8*100</f>
        <v>32000</v>
      </c>
      <c r="H13" s="44">
        <f>G13/48</f>
        <v>666.66666666666663</v>
      </c>
      <c r="I13" s="44" t="s">
        <v>86</v>
      </c>
      <c r="J13" s="35"/>
      <c r="K13" s="35"/>
      <c r="L13" s="35"/>
      <c r="M13" s="35"/>
    </row>
    <row r="14" spans="1:13" ht="37.5" customHeight="1">
      <c r="A14" s="3" t="s">
        <v>39</v>
      </c>
      <c r="B14" s="26" t="s">
        <v>37</v>
      </c>
      <c r="C14" s="27" t="s">
        <v>38</v>
      </c>
      <c r="D14" s="27">
        <f>1*12*17000</f>
        <v>204000</v>
      </c>
      <c r="E14" s="27">
        <f t="shared" ref="E14:E23" si="0">D14/48</f>
        <v>4250</v>
      </c>
      <c r="F14" s="4"/>
      <c r="G14" s="47">
        <f>7500*8</f>
        <v>60000</v>
      </c>
      <c r="H14" s="44">
        <f t="shared" ref="H14:H23" si="1">G14/48</f>
        <v>1250</v>
      </c>
      <c r="I14" s="44" t="s">
        <v>86</v>
      </c>
      <c r="J14" s="35"/>
      <c r="K14" s="4"/>
      <c r="L14" s="4">
        <f>9500*12</f>
        <v>114000</v>
      </c>
      <c r="M14" s="4"/>
    </row>
    <row r="15" spans="1:13" ht="36.75" customHeight="1">
      <c r="A15" s="3" t="s">
        <v>44</v>
      </c>
      <c r="B15" s="26" t="s">
        <v>45</v>
      </c>
      <c r="C15" s="27" t="s">
        <v>46</v>
      </c>
      <c r="D15" s="27">
        <f>10*12*1200</f>
        <v>144000</v>
      </c>
      <c r="E15" s="27">
        <f t="shared" si="0"/>
        <v>3000</v>
      </c>
      <c r="F15" s="4"/>
      <c r="G15" s="47">
        <v>0</v>
      </c>
      <c r="H15" s="44">
        <f t="shared" si="1"/>
        <v>0</v>
      </c>
      <c r="I15" s="44" t="s">
        <v>87</v>
      </c>
      <c r="J15" s="35"/>
      <c r="K15" s="4">
        <f>10*12*1200</f>
        <v>144000</v>
      </c>
      <c r="L15" s="4"/>
      <c r="M15" s="4"/>
    </row>
    <row r="16" spans="1:13" ht="36">
      <c r="A16" s="24" t="s">
        <v>31</v>
      </c>
      <c r="B16" s="26" t="s">
        <v>65</v>
      </c>
      <c r="C16" s="27" t="s">
        <v>47</v>
      </c>
      <c r="D16" s="27">
        <f>40*4*300</f>
        <v>48000</v>
      </c>
      <c r="E16" s="27">
        <f t="shared" si="0"/>
        <v>1000</v>
      </c>
      <c r="F16" s="4"/>
      <c r="G16" s="47">
        <v>8000</v>
      </c>
      <c r="H16" s="44">
        <f t="shared" si="1"/>
        <v>166.66666666666666</v>
      </c>
      <c r="I16" s="44" t="s">
        <v>88</v>
      </c>
      <c r="J16" s="35"/>
      <c r="K16" s="4">
        <f>40000</f>
        <v>40000</v>
      </c>
      <c r="L16" s="4"/>
      <c r="M16" s="4"/>
    </row>
    <row r="17" spans="1:13" ht="36">
      <c r="A17" s="3" t="s">
        <v>3</v>
      </c>
      <c r="B17" s="26" t="s">
        <v>40</v>
      </c>
      <c r="C17" s="26" t="s">
        <v>41</v>
      </c>
      <c r="D17" s="27">
        <f>40*312*20</f>
        <v>249600</v>
      </c>
      <c r="E17" s="27">
        <f t="shared" si="0"/>
        <v>5200</v>
      </c>
      <c r="F17" s="3" t="s">
        <v>72</v>
      </c>
      <c r="G17" s="47">
        <v>0</v>
      </c>
      <c r="H17" s="44">
        <f t="shared" si="1"/>
        <v>0</v>
      </c>
      <c r="I17" s="44" t="s">
        <v>87</v>
      </c>
      <c r="J17" s="35"/>
      <c r="K17" s="4"/>
      <c r="L17" s="4">
        <f>12*5800</f>
        <v>69600</v>
      </c>
      <c r="M17" s="4">
        <f>12*15000</f>
        <v>180000</v>
      </c>
    </row>
    <row r="18" spans="1:13" ht="36.75" customHeight="1">
      <c r="A18" s="3" t="s">
        <v>69</v>
      </c>
      <c r="B18" s="26" t="s">
        <v>42</v>
      </c>
      <c r="C18" s="27" t="s">
        <v>43</v>
      </c>
      <c r="D18" s="27">
        <f>1*1*5000</f>
        <v>5000</v>
      </c>
      <c r="E18" s="27">
        <f t="shared" si="0"/>
        <v>104.16666666666667</v>
      </c>
      <c r="F18" s="6"/>
      <c r="G18" s="42">
        <v>0</v>
      </c>
      <c r="H18" s="44">
        <f t="shared" si="1"/>
        <v>0</v>
      </c>
      <c r="I18" s="44" t="s">
        <v>87</v>
      </c>
      <c r="J18" s="35"/>
      <c r="K18" s="34"/>
      <c r="L18" s="34"/>
      <c r="M18" s="34"/>
    </row>
    <row r="19" spans="1:13" ht="24">
      <c r="A19" s="3" t="s">
        <v>4</v>
      </c>
      <c r="B19" s="26" t="s">
        <v>48</v>
      </c>
      <c r="C19" s="27" t="s">
        <v>49</v>
      </c>
      <c r="D19" s="27">
        <f>40*12*50</f>
        <v>24000</v>
      </c>
      <c r="E19" s="27">
        <f t="shared" si="0"/>
        <v>500</v>
      </c>
      <c r="F19" s="6"/>
      <c r="G19" s="42">
        <f>40*8*50</f>
        <v>16000</v>
      </c>
      <c r="H19" s="44">
        <f t="shared" si="1"/>
        <v>333.33333333333331</v>
      </c>
      <c r="I19" s="44" t="s">
        <v>86</v>
      </c>
      <c r="J19" s="35"/>
      <c r="K19" s="34"/>
      <c r="L19" s="34"/>
      <c r="M19" s="34"/>
    </row>
    <row r="20" spans="1:13" ht="24">
      <c r="A20" s="3" t="s">
        <v>5</v>
      </c>
      <c r="B20" s="26" t="s">
        <v>51</v>
      </c>
      <c r="C20" s="26" t="s">
        <v>50</v>
      </c>
      <c r="D20" s="27">
        <f>12*2000</f>
        <v>24000</v>
      </c>
      <c r="E20" s="27">
        <f t="shared" si="0"/>
        <v>500</v>
      </c>
      <c r="F20" s="6"/>
      <c r="G20" s="42">
        <f>2000*8</f>
        <v>16000</v>
      </c>
      <c r="H20" s="44">
        <f t="shared" si="1"/>
        <v>333.33333333333331</v>
      </c>
      <c r="I20" s="44" t="s">
        <v>86</v>
      </c>
      <c r="J20" s="35"/>
      <c r="K20" s="34"/>
      <c r="L20" s="34">
        <f>3*2000</f>
        <v>6000</v>
      </c>
      <c r="M20" s="34"/>
    </row>
    <row r="21" spans="1:13" ht="14.25" customHeight="1">
      <c r="A21" s="7" t="s">
        <v>6</v>
      </c>
      <c r="B21" s="26">
        <v>1</v>
      </c>
      <c r="C21" s="27" t="s">
        <v>52</v>
      </c>
      <c r="D21" s="27">
        <f>12*7000</f>
        <v>84000</v>
      </c>
      <c r="E21" s="27">
        <f t="shared" si="0"/>
        <v>1750</v>
      </c>
      <c r="F21" s="6"/>
      <c r="G21" s="42">
        <v>0</v>
      </c>
      <c r="H21" s="44">
        <f t="shared" si="1"/>
        <v>0</v>
      </c>
      <c r="I21" s="44" t="s">
        <v>87</v>
      </c>
      <c r="J21" s="35"/>
      <c r="K21" s="34"/>
      <c r="L21" s="34"/>
      <c r="M21" s="34"/>
    </row>
    <row r="22" spans="1:13" ht="36" customHeight="1">
      <c r="A22" s="3" t="s">
        <v>7</v>
      </c>
      <c r="B22" s="26" t="s">
        <v>53</v>
      </c>
      <c r="C22" s="27" t="s">
        <v>54</v>
      </c>
      <c r="D22" s="27">
        <f>2*40*500</f>
        <v>40000</v>
      </c>
      <c r="E22" s="27">
        <f t="shared" si="0"/>
        <v>833.33333333333337</v>
      </c>
      <c r="F22" s="3" t="s">
        <v>8</v>
      </c>
      <c r="G22" s="47">
        <f>1*40*500</f>
        <v>20000</v>
      </c>
      <c r="H22" s="44">
        <f t="shared" si="1"/>
        <v>416.66666666666669</v>
      </c>
      <c r="I22" s="44" t="s">
        <v>86</v>
      </c>
      <c r="J22" s="35"/>
      <c r="K22" s="4"/>
      <c r="L22" s="4"/>
      <c r="M22" s="4"/>
    </row>
    <row r="23" spans="1:13" ht="24.75" thickBot="1">
      <c r="A23" s="25" t="s">
        <v>9</v>
      </c>
      <c r="B23" s="28" t="s">
        <v>56</v>
      </c>
      <c r="C23" s="29" t="s">
        <v>55</v>
      </c>
      <c r="D23" s="29">
        <f>40*12*60</f>
        <v>28800</v>
      </c>
      <c r="E23" s="27">
        <f t="shared" si="0"/>
        <v>600</v>
      </c>
      <c r="F23" s="14"/>
      <c r="G23" s="48">
        <f>40*8*70</f>
        <v>22400</v>
      </c>
      <c r="H23" s="44">
        <f t="shared" si="1"/>
        <v>466.66666666666669</v>
      </c>
      <c r="I23" s="44" t="s">
        <v>86</v>
      </c>
      <c r="J23" s="35"/>
      <c r="K23" s="14"/>
      <c r="L23" s="14"/>
      <c r="M23" s="14"/>
    </row>
    <row r="24" spans="1:13" ht="12.75" thickBot="1">
      <c r="A24" s="17" t="s">
        <v>10</v>
      </c>
      <c r="B24" s="30"/>
      <c r="C24" s="30"/>
      <c r="D24" s="30">
        <f>SUM(D13:D23)</f>
        <v>899400</v>
      </c>
      <c r="E24" s="30">
        <f>SUM(E13:E23)</f>
        <v>18737.499999999996</v>
      </c>
      <c r="F24" s="18"/>
      <c r="G24" s="30">
        <f t="shared" ref="G24:M24" si="2">SUM(G13:G23)</f>
        <v>174400</v>
      </c>
      <c r="H24" s="30">
        <f t="shared" si="2"/>
        <v>3633.333333333333</v>
      </c>
      <c r="I24" s="30"/>
      <c r="J24" s="30"/>
      <c r="K24" s="30">
        <f t="shared" si="2"/>
        <v>184000</v>
      </c>
      <c r="L24" s="30">
        <f t="shared" si="2"/>
        <v>189600</v>
      </c>
      <c r="M24" s="30">
        <f t="shared" si="2"/>
        <v>180000</v>
      </c>
    </row>
    <row r="25" spans="1:13">
      <c r="A25" s="15"/>
      <c r="B25" s="31"/>
      <c r="C25" s="31"/>
      <c r="D25" s="31"/>
      <c r="E25" s="31"/>
      <c r="F25" s="16"/>
      <c r="G25" s="41"/>
      <c r="H25" s="41"/>
      <c r="I25" s="41"/>
      <c r="J25" s="16"/>
      <c r="K25" s="16"/>
      <c r="L25" s="16"/>
      <c r="M25" s="16"/>
    </row>
    <row r="26" spans="1:13">
      <c r="A26" s="8" t="s">
        <v>21</v>
      </c>
      <c r="B26" s="27"/>
      <c r="C26" s="27"/>
      <c r="D26" s="27"/>
      <c r="E26" s="27"/>
      <c r="F26" s="6"/>
      <c r="G26" s="42"/>
      <c r="H26" s="42"/>
      <c r="I26" s="42"/>
      <c r="J26" s="6"/>
      <c r="K26" s="6"/>
      <c r="L26" s="6"/>
      <c r="M26" s="6"/>
    </row>
    <row r="27" spans="1:13">
      <c r="A27" s="9"/>
      <c r="B27" s="27"/>
      <c r="C27" s="27"/>
      <c r="D27" s="27"/>
      <c r="E27" s="27"/>
      <c r="F27" s="6"/>
      <c r="G27" s="42"/>
      <c r="H27" s="42"/>
      <c r="I27" s="42"/>
      <c r="J27" s="6"/>
      <c r="K27" s="6"/>
      <c r="L27" s="6"/>
      <c r="M27" s="6"/>
    </row>
    <row r="28" spans="1:13" ht="27" customHeight="1">
      <c r="A28" s="10" t="s">
        <v>12</v>
      </c>
      <c r="B28" s="27">
        <v>1</v>
      </c>
      <c r="C28" s="26" t="s">
        <v>57</v>
      </c>
      <c r="D28" s="27">
        <f>12*9167</f>
        <v>110004</v>
      </c>
      <c r="E28" s="27">
        <f t="shared" ref="E28:E36" si="3">D28/48</f>
        <v>2291.75</v>
      </c>
      <c r="F28" s="60" t="s">
        <v>30</v>
      </c>
      <c r="G28" s="43">
        <f>8*9167</f>
        <v>73336</v>
      </c>
      <c r="H28" s="44">
        <f t="shared" ref="H28:H36" si="4">G28/48</f>
        <v>1527.8333333333333</v>
      </c>
      <c r="I28" s="44" t="s">
        <v>86</v>
      </c>
      <c r="J28" s="35"/>
      <c r="K28" s="37"/>
      <c r="L28" s="37"/>
      <c r="M28" s="37"/>
    </row>
    <row r="29" spans="1:13" ht="27" customHeight="1">
      <c r="A29" s="10" t="s">
        <v>24</v>
      </c>
      <c r="B29" s="27">
        <v>1</v>
      </c>
      <c r="C29" s="26" t="s">
        <v>79</v>
      </c>
      <c r="D29" s="27">
        <f>12*6234</f>
        <v>74808</v>
      </c>
      <c r="E29" s="27">
        <f t="shared" si="3"/>
        <v>1558.5</v>
      </c>
      <c r="F29" s="60"/>
      <c r="G29" s="43">
        <f>8*6234</f>
        <v>49872</v>
      </c>
      <c r="H29" s="44">
        <f t="shared" si="4"/>
        <v>1039</v>
      </c>
      <c r="I29" s="44" t="s">
        <v>86</v>
      </c>
      <c r="J29" s="35"/>
      <c r="K29" s="37"/>
      <c r="L29" s="37"/>
      <c r="M29" s="37"/>
    </row>
    <row r="30" spans="1:13" ht="27" customHeight="1">
      <c r="A30" s="10" t="s">
        <v>25</v>
      </c>
      <c r="B30" s="27">
        <v>1</v>
      </c>
      <c r="C30" s="26" t="s">
        <v>80</v>
      </c>
      <c r="D30" s="27">
        <f>12*2567</f>
        <v>30804</v>
      </c>
      <c r="E30" s="27">
        <f t="shared" si="3"/>
        <v>641.75</v>
      </c>
      <c r="F30" s="60"/>
      <c r="G30" s="43">
        <f>8*2567</f>
        <v>20536</v>
      </c>
      <c r="H30" s="44">
        <f t="shared" si="4"/>
        <v>427.83333333333331</v>
      </c>
      <c r="I30" s="44" t="s">
        <v>86</v>
      </c>
      <c r="J30" s="35"/>
      <c r="K30" s="37"/>
      <c r="L30" s="37"/>
      <c r="M30" s="37"/>
    </row>
    <row r="31" spans="1:13">
      <c r="A31" s="10"/>
      <c r="B31" s="27"/>
      <c r="C31" s="27"/>
      <c r="D31" s="27"/>
      <c r="E31" s="27"/>
      <c r="F31" s="6"/>
      <c r="G31" s="42"/>
      <c r="H31" s="44"/>
      <c r="I31" s="44"/>
      <c r="J31" s="35"/>
      <c r="K31" s="34"/>
      <c r="L31" s="34"/>
      <c r="M31" s="34"/>
    </row>
    <row r="32" spans="1:13">
      <c r="A32" s="10" t="s">
        <v>11</v>
      </c>
      <c r="B32" s="27">
        <v>1</v>
      </c>
      <c r="C32" s="27" t="s">
        <v>58</v>
      </c>
      <c r="D32" s="27">
        <f>12*18700</f>
        <v>224400</v>
      </c>
      <c r="E32" s="27">
        <f t="shared" si="3"/>
        <v>4675</v>
      </c>
      <c r="F32" s="6"/>
      <c r="G32" s="43">
        <v>0</v>
      </c>
      <c r="H32" s="44">
        <f t="shared" si="4"/>
        <v>0</v>
      </c>
      <c r="I32" s="44" t="s">
        <v>87</v>
      </c>
      <c r="J32" s="35"/>
      <c r="K32" s="34"/>
      <c r="L32" s="34"/>
      <c r="M32" s="34"/>
    </row>
    <row r="33" spans="1:13" ht="15" customHeight="1">
      <c r="A33" s="10" t="s">
        <v>26</v>
      </c>
      <c r="B33" s="27">
        <v>1</v>
      </c>
      <c r="C33" s="27" t="s">
        <v>59</v>
      </c>
      <c r="D33" s="27">
        <f>12*9350</f>
        <v>112200</v>
      </c>
      <c r="E33" s="27">
        <f t="shared" si="3"/>
        <v>2337.5</v>
      </c>
      <c r="F33" s="6"/>
      <c r="G33" s="45">
        <f>8*9350</f>
        <v>74800</v>
      </c>
      <c r="H33" s="44">
        <f t="shared" si="4"/>
        <v>1558.3333333333333</v>
      </c>
      <c r="I33" s="44" t="s">
        <v>86</v>
      </c>
      <c r="J33" s="35"/>
      <c r="K33" s="6"/>
      <c r="L33" s="6"/>
      <c r="M33" s="6"/>
    </row>
    <row r="34" spans="1:13" ht="15" customHeight="1">
      <c r="A34" s="10" t="s">
        <v>27</v>
      </c>
      <c r="B34" s="27">
        <v>1</v>
      </c>
      <c r="C34" s="27" t="s">
        <v>60</v>
      </c>
      <c r="D34" s="27">
        <f>12*7700</f>
        <v>92400</v>
      </c>
      <c r="E34" s="27">
        <f t="shared" si="3"/>
        <v>1925</v>
      </c>
      <c r="F34" s="6"/>
      <c r="G34" s="45">
        <f>8*7700</f>
        <v>61600</v>
      </c>
      <c r="H34" s="44">
        <f t="shared" si="4"/>
        <v>1283.3333333333333</v>
      </c>
      <c r="I34" s="44" t="s">
        <v>86</v>
      </c>
      <c r="J34" s="35"/>
      <c r="K34" s="6"/>
      <c r="L34" s="6"/>
      <c r="M34" s="6"/>
    </row>
    <row r="35" spans="1:13">
      <c r="A35" s="10" t="s">
        <v>28</v>
      </c>
      <c r="B35" s="27">
        <v>1</v>
      </c>
      <c r="C35" s="27" t="s">
        <v>60</v>
      </c>
      <c r="D35" s="27">
        <f>12*7700</f>
        <v>92400</v>
      </c>
      <c r="E35" s="27">
        <f t="shared" si="3"/>
        <v>1925</v>
      </c>
      <c r="F35" s="6"/>
      <c r="G35" s="45">
        <v>0</v>
      </c>
      <c r="H35" s="44">
        <f t="shared" si="4"/>
        <v>0</v>
      </c>
      <c r="I35" s="44" t="s">
        <v>87</v>
      </c>
      <c r="J35" s="35"/>
      <c r="K35" s="6"/>
      <c r="L35" s="6">
        <f>12*7700</f>
        <v>92400</v>
      </c>
      <c r="M35" s="6"/>
    </row>
    <row r="36" spans="1:13" ht="12.75" thickBot="1">
      <c r="A36" s="23" t="s">
        <v>29</v>
      </c>
      <c r="B36" s="29">
        <v>1</v>
      </c>
      <c r="C36" s="29" t="s">
        <v>60</v>
      </c>
      <c r="D36" s="29">
        <f>12*7700</f>
        <v>92400</v>
      </c>
      <c r="E36" s="27">
        <f t="shared" si="3"/>
        <v>1925</v>
      </c>
      <c r="F36" s="14"/>
      <c r="G36" s="45">
        <v>0</v>
      </c>
      <c r="H36" s="44">
        <f t="shared" si="4"/>
        <v>0</v>
      </c>
      <c r="I36" s="44" t="s">
        <v>87</v>
      </c>
      <c r="J36" s="35">
        <f>7000*12</f>
        <v>84000</v>
      </c>
      <c r="K36" s="14"/>
      <c r="L36" s="14"/>
      <c r="M36" s="14"/>
    </row>
    <row r="37" spans="1:13" ht="12.75" thickBot="1">
      <c r="A37" s="17" t="s">
        <v>13</v>
      </c>
      <c r="B37" s="30"/>
      <c r="C37" s="30"/>
      <c r="D37" s="30">
        <f>SUM(D28:D36)</f>
        <v>829416</v>
      </c>
      <c r="E37" s="30">
        <f>SUM(E28:E36)</f>
        <v>17279.5</v>
      </c>
      <c r="F37" s="18"/>
      <c r="G37" s="30">
        <f t="shared" ref="G37:M37" si="5">SUM(G28:G36)</f>
        <v>280144</v>
      </c>
      <c r="H37" s="30">
        <f t="shared" si="5"/>
        <v>5836.333333333333</v>
      </c>
      <c r="I37" s="30"/>
      <c r="J37" s="30"/>
      <c r="K37" s="30">
        <f t="shared" si="5"/>
        <v>0</v>
      </c>
      <c r="L37" s="30">
        <f t="shared" si="5"/>
        <v>92400</v>
      </c>
      <c r="M37" s="30">
        <f t="shared" si="5"/>
        <v>0</v>
      </c>
    </row>
    <row r="38" spans="1:13">
      <c r="A38" s="15"/>
      <c r="B38" s="31"/>
      <c r="C38" s="31"/>
      <c r="D38" s="31"/>
      <c r="E38" s="31"/>
      <c r="F38" s="39"/>
      <c r="G38" s="49"/>
      <c r="H38" s="49"/>
      <c r="I38" s="49"/>
      <c r="J38" s="39"/>
      <c r="K38" s="39"/>
      <c r="L38" s="39"/>
      <c r="M38" s="39"/>
    </row>
    <row r="39" spans="1:13">
      <c r="A39" s="11" t="s">
        <v>20</v>
      </c>
      <c r="B39" s="27"/>
      <c r="C39" s="27"/>
      <c r="D39" s="27"/>
      <c r="E39" s="27"/>
      <c r="F39" s="6"/>
      <c r="G39" s="42"/>
      <c r="H39" s="42"/>
      <c r="I39" s="42"/>
      <c r="J39" s="6"/>
      <c r="K39" s="6"/>
      <c r="L39" s="6"/>
      <c r="M39" s="6"/>
    </row>
    <row r="40" spans="1:13">
      <c r="A40" s="12"/>
      <c r="B40" s="27"/>
      <c r="C40" s="27"/>
      <c r="D40" s="27"/>
      <c r="E40" s="27"/>
      <c r="F40" s="4"/>
      <c r="G40" s="47"/>
      <c r="H40" s="47"/>
      <c r="I40" s="47"/>
      <c r="J40" s="4"/>
      <c r="K40" s="4"/>
      <c r="L40" s="4"/>
      <c r="M40" s="4"/>
    </row>
    <row r="41" spans="1:13">
      <c r="A41" s="12" t="s">
        <v>14</v>
      </c>
      <c r="B41" s="27" t="s">
        <v>61</v>
      </c>
      <c r="C41" s="27" t="s">
        <v>62</v>
      </c>
      <c r="D41" s="27">
        <f>12*1000</f>
        <v>12000</v>
      </c>
      <c r="E41" s="27">
        <f t="shared" ref="E41:E45" si="6">D41/48</f>
        <v>250</v>
      </c>
      <c r="F41" s="4"/>
      <c r="G41" s="47">
        <v>0</v>
      </c>
      <c r="H41" s="44">
        <f t="shared" ref="H41:H45" si="7">G41/48</f>
        <v>0</v>
      </c>
      <c r="I41" s="44" t="s">
        <v>87</v>
      </c>
      <c r="J41" s="35"/>
      <c r="K41" s="4"/>
      <c r="L41" s="4">
        <f>12*1000</f>
        <v>12000</v>
      </c>
      <c r="M41" s="4"/>
    </row>
    <row r="42" spans="1:13">
      <c r="A42" s="12" t="s">
        <v>15</v>
      </c>
      <c r="B42" s="27" t="s">
        <v>61</v>
      </c>
      <c r="C42" s="27" t="s">
        <v>63</v>
      </c>
      <c r="D42" s="27">
        <f>12*5000</f>
        <v>60000</v>
      </c>
      <c r="E42" s="27">
        <f t="shared" si="6"/>
        <v>1250</v>
      </c>
      <c r="F42" s="6"/>
      <c r="G42" s="42">
        <v>0</v>
      </c>
      <c r="H42" s="44">
        <f t="shared" si="7"/>
        <v>0</v>
      </c>
      <c r="I42" s="44" t="s">
        <v>87</v>
      </c>
      <c r="J42" s="35"/>
      <c r="K42" s="6"/>
      <c r="L42" s="6"/>
      <c r="M42" s="6"/>
    </row>
    <row r="43" spans="1:13" ht="15" customHeight="1">
      <c r="A43" s="12" t="s">
        <v>16</v>
      </c>
      <c r="B43" s="27" t="s">
        <v>61</v>
      </c>
      <c r="C43" s="27" t="s">
        <v>62</v>
      </c>
      <c r="D43" s="27">
        <f>12*1000</f>
        <v>12000</v>
      </c>
      <c r="E43" s="27">
        <f t="shared" si="6"/>
        <v>250</v>
      </c>
      <c r="F43" s="6"/>
      <c r="G43" s="42">
        <f>1000*8</f>
        <v>8000</v>
      </c>
      <c r="H43" s="44">
        <f t="shared" si="7"/>
        <v>166.66666666666666</v>
      </c>
      <c r="I43" s="44" t="s">
        <v>86</v>
      </c>
      <c r="J43" s="35"/>
      <c r="K43" s="6"/>
      <c r="L43" s="6"/>
      <c r="M43" s="6"/>
    </row>
    <row r="44" spans="1:13" ht="15" customHeight="1">
      <c r="A44" s="12" t="s">
        <v>82</v>
      </c>
      <c r="B44" s="27" t="s">
        <v>61</v>
      </c>
      <c r="C44" s="27" t="s">
        <v>64</v>
      </c>
      <c r="D44" s="27">
        <f>12*1500</f>
        <v>18000</v>
      </c>
      <c r="E44" s="27">
        <f t="shared" si="6"/>
        <v>375</v>
      </c>
      <c r="F44" s="6"/>
      <c r="G44" s="42">
        <f>8*1500</f>
        <v>12000</v>
      </c>
      <c r="H44" s="44">
        <f t="shared" si="7"/>
        <v>250</v>
      </c>
      <c r="I44" s="44" t="s">
        <v>86</v>
      </c>
      <c r="J44" s="35"/>
      <c r="K44" s="6"/>
      <c r="L44" s="6"/>
      <c r="M44" s="6"/>
    </row>
    <row r="45" spans="1:13" ht="12.75" thickBot="1">
      <c r="A45" s="38" t="s">
        <v>17</v>
      </c>
      <c r="B45" s="29" t="s">
        <v>61</v>
      </c>
      <c r="C45" s="29" t="s">
        <v>64</v>
      </c>
      <c r="D45" s="29">
        <f>12*1500</f>
        <v>18000</v>
      </c>
      <c r="E45" s="27">
        <f t="shared" si="6"/>
        <v>375</v>
      </c>
      <c r="F45" s="14"/>
      <c r="G45" s="48">
        <v>0</v>
      </c>
      <c r="H45" s="44">
        <f t="shared" si="7"/>
        <v>0</v>
      </c>
      <c r="I45" s="44" t="s">
        <v>87</v>
      </c>
      <c r="J45" s="35"/>
      <c r="K45" s="14"/>
      <c r="L45" s="14"/>
      <c r="M45" s="14"/>
    </row>
    <row r="46" spans="1:13" ht="12.75" thickBot="1">
      <c r="A46" s="17" t="s">
        <v>18</v>
      </c>
      <c r="B46" s="18"/>
      <c r="C46" s="18"/>
      <c r="D46" s="18">
        <f>SUM(D41:D45)</f>
        <v>120000</v>
      </c>
      <c r="E46" s="18">
        <f>SUM(E41:E45)</f>
        <v>2500</v>
      </c>
      <c r="F46" s="18"/>
      <c r="G46" s="18">
        <f t="shared" ref="G46:M46" si="8">SUM(G41:G45)</f>
        <v>20000</v>
      </c>
      <c r="H46" s="18">
        <f t="shared" si="8"/>
        <v>416.66666666666663</v>
      </c>
      <c r="I46" s="18"/>
      <c r="J46" s="18"/>
      <c r="K46" s="18">
        <f t="shared" si="8"/>
        <v>0</v>
      </c>
      <c r="L46" s="18">
        <f t="shared" si="8"/>
        <v>12000</v>
      </c>
      <c r="M46" s="18">
        <f t="shared" si="8"/>
        <v>0</v>
      </c>
    </row>
    <row r="47" spans="1:13" ht="24.75" thickBot="1">
      <c r="A47" s="19" t="s">
        <v>19</v>
      </c>
      <c r="B47" s="20"/>
      <c r="C47" s="20"/>
      <c r="D47" s="20">
        <f>D24+D37+D46</f>
        <v>1848816</v>
      </c>
      <c r="E47" s="20">
        <f>E24+E37+E46</f>
        <v>38517</v>
      </c>
      <c r="F47" s="21"/>
      <c r="G47" s="20">
        <f t="shared" ref="G47:M47" si="9">G24+G37+G46</f>
        <v>474544</v>
      </c>
      <c r="H47" s="20">
        <f t="shared" si="9"/>
        <v>9886.3333333333321</v>
      </c>
      <c r="I47" s="20"/>
      <c r="J47" s="20"/>
      <c r="K47" s="20">
        <f t="shared" si="9"/>
        <v>184000</v>
      </c>
      <c r="L47" s="20">
        <f t="shared" si="9"/>
        <v>294000</v>
      </c>
      <c r="M47" s="20">
        <f t="shared" si="9"/>
        <v>180000</v>
      </c>
    </row>
    <row r="49" spans="1:6">
      <c r="A49" s="59" t="s">
        <v>89</v>
      </c>
      <c r="B49" s="59"/>
      <c r="C49" s="59"/>
      <c r="D49" s="59"/>
      <c r="E49" s="59"/>
      <c r="F49" s="59"/>
    </row>
  </sheetData>
  <mergeCells count="6">
    <mergeCell ref="G10:H10"/>
    <mergeCell ref="A7:A8"/>
    <mergeCell ref="A1:F1"/>
    <mergeCell ref="A2:F2"/>
    <mergeCell ref="A49:F49"/>
    <mergeCell ref="F28:F30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jul</cp:lastModifiedBy>
  <cp:lastPrinted>2012-05-10T06:28:35Z</cp:lastPrinted>
  <dcterms:created xsi:type="dcterms:W3CDTF">2011-12-16T09:13:53Z</dcterms:created>
  <dcterms:modified xsi:type="dcterms:W3CDTF">2012-05-10T21:15:05Z</dcterms:modified>
</cp:coreProperties>
</file>