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<sst xmlns="http://schemas.openxmlformats.org/spreadsheetml/2006/main" count="300" uniqueCount="114">
  <si>
    <t>sl.no</t>
  </si>
  <si>
    <t>Description of work</t>
  </si>
  <si>
    <t>Nos</t>
  </si>
  <si>
    <t>Length</t>
  </si>
  <si>
    <t>Breadth</t>
  </si>
  <si>
    <t>Depth</t>
  </si>
  <si>
    <t>Quantity</t>
  </si>
  <si>
    <t>Unit</t>
  </si>
  <si>
    <t>Rate</t>
  </si>
  <si>
    <t>Amount</t>
  </si>
  <si>
    <t>Detailed Estimate for the Construction of Dormitay Block at Isai Ambalam School, Auroville.</t>
  </si>
  <si>
    <t>sq.m</t>
  </si>
  <si>
    <t>Site cleaning,tree cutting,marking and top soil removing</t>
  </si>
  <si>
    <t>Earth work excavation for foundation</t>
  </si>
  <si>
    <t>1x1</t>
  </si>
  <si>
    <t>Main walls alround - (14.95+5.23*4+4.73*2+1.73*4+3.23*2)</t>
  </si>
  <si>
    <t>at Verandah           - (2*2+15.18)= 19.18m</t>
  </si>
  <si>
    <t xml:space="preserve">for front side step   - </t>
  </si>
  <si>
    <t>cu.m</t>
  </si>
  <si>
    <t>Sand filling in foundation</t>
  </si>
  <si>
    <t>Providing foundation p.c.c 1:5:10</t>
  </si>
  <si>
    <t>Providing foundation brick work with cement mortar 1:5</t>
  </si>
  <si>
    <t>steps brick work</t>
  </si>
  <si>
    <t>1x2</t>
  </si>
  <si>
    <t>Providing brick shuttering for plinth beam</t>
  </si>
  <si>
    <t>Providing r.c.c 1:2:4 for plinth beam</t>
  </si>
  <si>
    <t>Main walls</t>
  </si>
  <si>
    <t>at verandah</t>
  </si>
  <si>
    <t>Providing brick work upto floor level with c.m 1:5</t>
  </si>
  <si>
    <t>at Verandah           - (2*2+14.95)= 19.18m</t>
  </si>
  <si>
    <t>Refilling of excavated earth into the pit</t>
  </si>
  <si>
    <t xml:space="preserve">cu.m </t>
  </si>
  <si>
    <t>Providing and laying d.p.c with c.m 1:2 at alround the main wall</t>
  </si>
  <si>
    <t>Providing exposed brick work in superstructure with c.m 1:6</t>
  </si>
  <si>
    <t>deductions for openinngs</t>
  </si>
  <si>
    <t>w1</t>
  </si>
  <si>
    <t>w2</t>
  </si>
  <si>
    <t>1x8</t>
  </si>
  <si>
    <t>w3</t>
  </si>
  <si>
    <t>opening at entrance</t>
  </si>
  <si>
    <t>D1</t>
  </si>
  <si>
    <t>for front side pillars</t>
  </si>
  <si>
    <t>1x4</t>
  </si>
  <si>
    <t>Providing 4.5"tk brick work at toilet</t>
  </si>
  <si>
    <t>deductions for openings</t>
  </si>
  <si>
    <t>Providing r.c.c 1:2:4 for lintels and sunshade</t>
  </si>
  <si>
    <t>sunshade -w1</t>
  </si>
  <si>
    <t>sunshade -w2</t>
  </si>
  <si>
    <t>Front side pillar from plinth beam</t>
  </si>
  <si>
    <t>Earth filling in flooring</t>
  </si>
  <si>
    <t>Men's &amp; women's dormitory</t>
  </si>
  <si>
    <t>Men's &amp; women's toilet</t>
  </si>
  <si>
    <t>under staircase</t>
  </si>
  <si>
    <t xml:space="preserve">covered verandah </t>
  </si>
  <si>
    <t>Foyer</t>
  </si>
  <si>
    <t>Sand filling in flooring</t>
  </si>
  <si>
    <t>Providing flooring p.c.c 1:4:8</t>
  </si>
  <si>
    <t>Providing r.c.c 1:1.5:3 for roof slab</t>
  </si>
  <si>
    <t>roof beam</t>
  </si>
  <si>
    <t>beam connecting front side pillars</t>
  </si>
  <si>
    <t>deductions for staircase opening</t>
  </si>
  <si>
    <t>Plastering of inner walls with cement mortar 1:4</t>
  </si>
  <si>
    <t>staircase walls</t>
  </si>
  <si>
    <t>Deductions for openings                                                 w2</t>
  </si>
  <si>
    <t>window side</t>
  </si>
  <si>
    <t>door side</t>
  </si>
  <si>
    <t>D2</t>
  </si>
  <si>
    <t>Pointing of outer walls with cement mortar 1:3</t>
  </si>
  <si>
    <t>Deduction for openings</t>
  </si>
  <si>
    <t>verandah bench brick work</t>
  </si>
  <si>
    <t>veranda bench brick work</t>
  </si>
  <si>
    <t>Terrocotta colour floor finishing with white cement mortar 1:4</t>
  </si>
  <si>
    <t>front steps</t>
  </si>
  <si>
    <t>door bottom</t>
  </si>
  <si>
    <t>Providing and simple grill windows with mesh</t>
  </si>
  <si>
    <t>Painting of grill windows</t>
  </si>
  <si>
    <t>2x2</t>
  </si>
  <si>
    <t>2x8</t>
  </si>
  <si>
    <t>Providing and fixing ready made flush doors</t>
  </si>
  <si>
    <t>Painting of doors</t>
  </si>
  <si>
    <t>Providing and fixing precast staircase steps</t>
  </si>
  <si>
    <t>nos</t>
  </si>
  <si>
    <t>landing slab</t>
  </si>
  <si>
    <t>Providing and fixing staircase hand rail</t>
  </si>
  <si>
    <t>rmt</t>
  </si>
  <si>
    <t>Construction of Staircase:</t>
  </si>
  <si>
    <t>Providing and laying cuddapha stone on front side bench</t>
  </si>
  <si>
    <t>Sunshade top plastering with cement mortar</t>
  </si>
  <si>
    <t>Providing and laying  tiles roof at verandah</t>
  </si>
  <si>
    <t>Terrace work:</t>
  </si>
  <si>
    <t>Providing parapet wall with c.m 1:6</t>
  </si>
  <si>
    <t>2x4</t>
  </si>
  <si>
    <t>Providing and laying ferrocement seating slab</t>
  </si>
  <si>
    <t>Plastering of inner parapet walls</t>
  </si>
  <si>
    <t>Providing weathering course</t>
  </si>
  <si>
    <t>Terrace floor finishing with cement mortar</t>
  </si>
  <si>
    <t>Providing and fixing white colour wash basin</t>
  </si>
  <si>
    <t>Providing and fixing wash basin tap</t>
  </si>
  <si>
    <t>Providing and fixing E.w.c at toilet</t>
  </si>
  <si>
    <t>Providing and fixing tap at toilet</t>
  </si>
  <si>
    <t>Providing and fixing ordinary shower</t>
  </si>
  <si>
    <t>Internal plumbing work</t>
  </si>
  <si>
    <t>lumpsum</t>
  </si>
  <si>
    <t>Internal Electrical work</t>
  </si>
  <si>
    <t>pts</t>
  </si>
  <si>
    <t>Septic tank</t>
  </si>
  <si>
    <t>Lotus Pond</t>
  </si>
  <si>
    <t>Earth work excavation for walls</t>
  </si>
  <si>
    <t>Providing foundation p.c.c</t>
  </si>
  <si>
    <t>Providing brick work</t>
  </si>
  <si>
    <t>Mesh Plastering of inner wall and flooring with cement mortar</t>
  </si>
  <si>
    <t>20.07.04</t>
  </si>
  <si>
    <t>Total Estimated Amount of Building :</t>
  </si>
  <si>
    <t>Gross Amount: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</si>
</sst>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0"/>
    <numFmt numFmtId="166" formatCode="0.00000"/>
    <numFmt numFmtId="167" formatCode="0.0000"/>
    <numFmt numFmtId="168" formatCode="0.000000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0"/>
  <sheetViews>
    <sheetView tabSelected="1" workbookViewId="0" topLeftCell="B205">
      <selection activeCell="J224" sqref="J224"/>
    </sheetView>
  </sheetViews>
  <sheetFormatPr defaultColWidth="9.140625" defaultRowHeight="12.75"/>
  <cols>
    <col min="1" max="1" width="5.28125" style="2" customWidth="1"/>
    <col min="2" max="2" width="53.421875" style="2" customWidth="1"/>
    <col min="3" max="3" width="5.7109375" style="2" customWidth="1"/>
    <col min="4" max="4" width="8.28125" style="2" customWidth="1"/>
    <col min="5" max="5" width="8.28125" style="2" bestFit="1" customWidth="1"/>
    <col min="6" max="6" width="6.421875" style="2" customWidth="1"/>
    <col min="7" max="7" width="10.140625" style="2" customWidth="1"/>
    <col min="8" max="8" width="6.57421875" style="2" customWidth="1"/>
    <col min="9" max="9" width="6.7109375" style="2" customWidth="1"/>
    <col min="10" max="10" width="10.421875" style="2" customWidth="1"/>
    <col min="11" max="11" width="11.421875" style="2" customWidth="1"/>
    <col min="12" max="13" width="8.7109375" style="2" customWidth="1"/>
    <col min="14" max="14" width="11.421875" style="2" bestFit="1" customWidth="1"/>
    <col min="15" max="15" width="8.7109375" style="2" customWidth="1"/>
    <col min="16" max="16384" width="9.140625" style="2" customWidth="1"/>
  </cols>
  <sheetData>
    <row r="2" spans="2:10" ht="13.5">
      <c r="B2" s="3" t="s">
        <v>10</v>
      </c>
      <c r="J2" s="2" t="s">
        <v>111</v>
      </c>
    </row>
    <row r="4" spans="1:10" s="3" customFormat="1" ht="13.5">
      <c r="A4" s="4" t="s">
        <v>0</v>
      </c>
      <c r="B4" s="5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 t="s">
        <v>7</v>
      </c>
      <c r="I4" s="10" t="s">
        <v>8</v>
      </c>
      <c r="J4" s="11" t="s">
        <v>9</v>
      </c>
    </row>
    <row r="6" spans="1:10" ht="13.5">
      <c r="A6" s="2">
        <v>1</v>
      </c>
      <c r="B6" s="2" t="s">
        <v>12</v>
      </c>
      <c r="C6" s="2" t="s">
        <v>14</v>
      </c>
      <c r="D6" s="2">
        <v>15.18</v>
      </c>
      <c r="F6" s="2">
        <v>7.5</v>
      </c>
      <c r="G6" s="2">
        <f>D6*F6</f>
        <v>113.85</v>
      </c>
      <c r="H6" s="2" t="s">
        <v>11</v>
      </c>
      <c r="I6" s="2">
        <v>13</v>
      </c>
      <c r="J6" s="2">
        <f>G6*I6</f>
        <v>1480.05</v>
      </c>
    </row>
    <row r="8" spans="1:2" ht="13.5">
      <c r="A8" s="2">
        <v>2</v>
      </c>
      <c r="B8" s="2" t="s">
        <v>13</v>
      </c>
    </row>
    <row r="9" spans="2:7" ht="13.5">
      <c r="B9" s="2" t="s">
        <v>15</v>
      </c>
      <c r="C9" s="2" t="s">
        <v>14</v>
      </c>
      <c r="D9" s="2">
        <f>(14.95+5.23*4+4.73*2+1.73*4+3.23*2)</f>
        <v>58.71000000000001</v>
      </c>
      <c r="E9" s="12">
        <v>0.7</v>
      </c>
      <c r="F9" s="12">
        <v>0.9</v>
      </c>
      <c r="G9" s="12">
        <f>F9*E9*D9</f>
        <v>36.987300000000005</v>
      </c>
    </row>
    <row r="10" spans="2:7" ht="13.5">
      <c r="B10" s="2" t="s">
        <v>16</v>
      </c>
      <c r="C10" s="2" t="s">
        <v>14</v>
      </c>
      <c r="D10" s="2">
        <f>2*2+15.18</f>
        <v>19.18</v>
      </c>
      <c r="E10" s="12">
        <v>0.6</v>
      </c>
      <c r="F10" s="12">
        <v>0.6</v>
      </c>
      <c r="G10" s="12">
        <f>F10*E10*D10</f>
        <v>6.9048</v>
      </c>
    </row>
    <row r="11" spans="2:7" ht="13.5">
      <c r="B11" s="2" t="s">
        <v>17</v>
      </c>
      <c r="C11" s="2" t="s">
        <v>14</v>
      </c>
      <c r="D11" s="2">
        <f>5.26</f>
        <v>5.26</v>
      </c>
      <c r="E11" s="12">
        <v>0.7</v>
      </c>
      <c r="F11" s="12">
        <v>0.3</v>
      </c>
      <c r="G11" s="12">
        <f>F11*E11*D11</f>
        <v>1.1045999999999998</v>
      </c>
    </row>
    <row r="12" spans="7:10" ht="13.5">
      <c r="G12" s="13">
        <f>SUM(G9:G11)</f>
        <v>44.996700000000004</v>
      </c>
      <c r="H12" s="2" t="s">
        <v>18</v>
      </c>
      <c r="I12" s="2">
        <v>70</v>
      </c>
      <c r="J12" s="2">
        <f>G12*I12</f>
        <v>3149.7690000000002</v>
      </c>
    </row>
    <row r="13" ht="13.5">
      <c r="G13" s="13"/>
    </row>
    <row r="14" spans="1:2" ht="13.5">
      <c r="A14" s="2">
        <v>3</v>
      </c>
      <c r="B14" s="2" t="s">
        <v>19</v>
      </c>
    </row>
    <row r="15" spans="2:7" ht="13.5">
      <c r="B15" s="2" t="s">
        <v>15</v>
      </c>
      <c r="C15" s="2" t="s">
        <v>14</v>
      </c>
      <c r="D15" s="2">
        <f>(14.95+5.23*4+4.73*2+1.73*4+3.23*2)</f>
        <v>58.71000000000001</v>
      </c>
      <c r="E15" s="12">
        <v>0.7</v>
      </c>
      <c r="F15" s="12">
        <v>0.05</v>
      </c>
      <c r="G15" s="12">
        <f>F15*E15*D15</f>
        <v>2.05485</v>
      </c>
    </row>
    <row r="16" spans="2:7" ht="13.5">
      <c r="B16" s="2" t="s">
        <v>16</v>
      </c>
      <c r="C16" s="2" t="s">
        <v>14</v>
      </c>
      <c r="D16" s="2">
        <f>2*2+15.18</f>
        <v>19.18</v>
      </c>
      <c r="E16" s="12">
        <v>0.6</v>
      </c>
      <c r="F16" s="12">
        <v>0.05</v>
      </c>
      <c r="G16" s="12">
        <f>F16*E16*D16</f>
        <v>0.5754</v>
      </c>
    </row>
    <row r="17" spans="2:7" ht="13.5">
      <c r="B17" s="2" t="s">
        <v>17</v>
      </c>
      <c r="C17" s="2" t="s">
        <v>14</v>
      </c>
      <c r="D17" s="2">
        <f>5.26</f>
        <v>5.26</v>
      </c>
      <c r="E17" s="12">
        <v>0.7</v>
      </c>
      <c r="F17" s="12">
        <v>0.05</v>
      </c>
      <c r="G17" s="12">
        <f>F17*E17*D17</f>
        <v>0.18409999999999999</v>
      </c>
    </row>
    <row r="18" spans="7:10" ht="13.5">
      <c r="G18" s="13">
        <f>SUM(G15:G17)</f>
        <v>2.81435</v>
      </c>
      <c r="H18" s="2" t="s">
        <v>18</v>
      </c>
      <c r="I18" s="2">
        <v>350</v>
      </c>
      <c r="J18" s="2">
        <f>G18*I18</f>
        <v>985.0225</v>
      </c>
    </row>
    <row r="20" spans="1:2" ht="13.5">
      <c r="A20" s="2">
        <v>4</v>
      </c>
      <c r="B20" s="2" t="s">
        <v>20</v>
      </c>
    </row>
    <row r="21" spans="2:7" ht="13.5">
      <c r="B21" s="2" t="s">
        <v>15</v>
      </c>
      <c r="C21" s="2" t="s">
        <v>14</v>
      </c>
      <c r="D21" s="2">
        <f>(14.95+5.23*4+4.73*2+1.73*4+3.23*2)</f>
        <v>58.71000000000001</v>
      </c>
      <c r="E21" s="12">
        <v>0.7</v>
      </c>
      <c r="F21" s="12">
        <v>0.1</v>
      </c>
      <c r="G21" s="12">
        <f>F21*E21*D21</f>
        <v>4.1097</v>
      </c>
    </row>
    <row r="22" spans="2:7" ht="13.5">
      <c r="B22" s="2" t="s">
        <v>29</v>
      </c>
      <c r="C22" s="2" t="s">
        <v>14</v>
      </c>
      <c r="D22" s="2">
        <f>2*2+15.18</f>
        <v>19.18</v>
      </c>
      <c r="E22" s="12">
        <v>0.6</v>
      </c>
      <c r="F22" s="12">
        <v>0.1</v>
      </c>
      <c r="G22" s="12">
        <f>F22*E22*D22</f>
        <v>1.1508</v>
      </c>
    </row>
    <row r="23" spans="2:7" ht="13.5">
      <c r="B23" s="2" t="s">
        <v>17</v>
      </c>
      <c r="C23" s="2" t="s">
        <v>14</v>
      </c>
      <c r="D23" s="2">
        <f>5.26</f>
        <v>5.26</v>
      </c>
      <c r="E23" s="12">
        <v>0.7</v>
      </c>
      <c r="F23" s="12">
        <v>0.1</v>
      </c>
      <c r="G23" s="12">
        <f>F23*E23*D23</f>
        <v>0.36819999999999997</v>
      </c>
    </row>
    <row r="24" spans="7:10" ht="13.5">
      <c r="G24" s="13">
        <f>SUM(G21:G23)</f>
        <v>5.6287</v>
      </c>
      <c r="H24" s="2" t="s">
        <v>18</v>
      </c>
      <c r="I24" s="2">
        <v>2100</v>
      </c>
      <c r="J24" s="2">
        <f>G24*I24</f>
        <v>11820.27</v>
      </c>
    </row>
    <row r="25" spans="1:2" ht="13.5">
      <c r="A25" s="2">
        <v>5</v>
      </c>
      <c r="B25" s="2" t="s">
        <v>21</v>
      </c>
    </row>
    <row r="26" spans="3:7" ht="13.5">
      <c r="C26" s="2" t="s">
        <v>14</v>
      </c>
      <c r="D26" s="2">
        <f>(14.95+5.23*4+4.73*2+1.73*4+3.23*2)</f>
        <v>58.71000000000001</v>
      </c>
      <c r="E26" s="12">
        <v>0.56</v>
      </c>
      <c r="F26" s="12">
        <v>0.15</v>
      </c>
      <c r="G26" s="12">
        <f aca="true" t="shared" si="0" ref="G26:G32">F26*E26*D26</f>
        <v>4.931640000000001</v>
      </c>
    </row>
    <row r="27" spans="3:7" ht="13.5">
      <c r="C27" s="2" t="s">
        <v>14</v>
      </c>
      <c r="D27" s="2">
        <f>D26</f>
        <v>58.71000000000001</v>
      </c>
      <c r="E27" s="2">
        <v>0.45</v>
      </c>
      <c r="F27" s="2">
        <v>0.15</v>
      </c>
      <c r="G27" s="12">
        <f t="shared" si="0"/>
        <v>3.9629250000000007</v>
      </c>
    </row>
    <row r="28" spans="3:7" ht="13.5">
      <c r="C28" s="2" t="s">
        <v>14</v>
      </c>
      <c r="D28" s="2">
        <f>D27</f>
        <v>58.71000000000001</v>
      </c>
      <c r="E28" s="2">
        <v>0.34</v>
      </c>
      <c r="F28" s="12">
        <v>0.2</v>
      </c>
      <c r="G28" s="12">
        <f t="shared" si="0"/>
        <v>3.992280000000001</v>
      </c>
    </row>
    <row r="29" spans="3:7" ht="13.5">
      <c r="C29" s="2" t="s">
        <v>14</v>
      </c>
      <c r="D29" s="2">
        <f>D22</f>
        <v>19.18</v>
      </c>
      <c r="E29" s="2">
        <v>0.45</v>
      </c>
      <c r="F29" s="2">
        <v>0.15</v>
      </c>
      <c r="G29" s="12">
        <f t="shared" si="0"/>
        <v>1.29465</v>
      </c>
    </row>
    <row r="30" spans="3:7" ht="13.5">
      <c r="C30" s="2" t="s">
        <v>14</v>
      </c>
      <c r="D30" s="2">
        <f>D29</f>
        <v>19.18</v>
      </c>
      <c r="E30" s="2">
        <v>0.34</v>
      </c>
      <c r="F30" s="12">
        <v>0.2</v>
      </c>
      <c r="G30" s="12">
        <f t="shared" si="0"/>
        <v>1.30424</v>
      </c>
    </row>
    <row r="31" spans="2:7" ht="13.5">
      <c r="B31" s="2" t="s">
        <v>22</v>
      </c>
      <c r="C31" s="2" t="s">
        <v>14</v>
      </c>
      <c r="D31" s="2">
        <v>5.26</v>
      </c>
      <c r="E31" s="2">
        <v>0.7</v>
      </c>
      <c r="F31" s="2">
        <v>0.15</v>
      </c>
      <c r="G31" s="12">
        <f t="shared" si="0"/>
        <v>0.5522999999999999</v>
      </c>
    </row>
    <row r="32" spans="3:7" ht="13.5">
      <c r="C32" s="2" t="s">
        <v>14</v>
      </c>
      <c r="D32" s="2">
        <v>5.26</v>
      </c>
      <c r="E32" s="2">
        <f>0.7-0.3</f>
        <v>0.39999999999999997</v>
      </c>
      <c r="F32" s="2">
        <v>0.15</v>
      </c>
      <c r="G32" s="12">
        <f t="shared" si="0"/>
        <v>0.31559999999999994</v>
      </c>
    </row>
    <row r="33" spans="7:10" ht="13.5">
      <c r="G33" s="13">
        <f>SUM(G26:G32)</f>
        <v>16.353635000000004</v>
      </c>
      <c r="H33" s="2" t="s">
        <v>18</v>
      </c>
      <c r="I33" s="2">
        <v>1550</v>
      </c>
      <c r="J33" s="2">
        <f>G33*I33</f>
        <v>25348.134250000006</v>
      </c>
    </row>
    <row r="35" spans="1:7" ht="13.5">
      <c r="A35" s="2">
        <v>6</v>
      </c>
      <c r="B35" s="2" t="s">
        <v>24</v>
      </c>
      <c r="C35" s="2" t="s">
        <v>23</v>
      </c>
      <c r="D35" s="2">
        <f>D28</f>
        <v>58.71000000000001</v>
      </c>
      <c r="F35" s="2">
        <v>0.25</v>
      </c>
      <c r="G35" s="2">
        <f>D35*F35*2</f>
        <v>29.355000000000004</v>
      </c>
    </row>
    <row r="36" spans="3:7" ht="13.5">
      <c r="C36" s="2" t="s">
        <v>23</v>
      </c>
      <c r="D36" s="2">
        <v>19.18</v>
      </c>
      <c r="F36" s="2">
        <v>0.15</v>
      </c>
      <c r="G36" s="2">
        <f>D36*F36*2</f>
        <v>5.754</v>
      </c>
    </row>
    <row r="37" spans="7:10" ht="13.5">
      <c r="G37" s="3">
        <f>SUM(G35:G36)</f>
        <v>35.109</v>
      </c>
      <c r="H37" s="2" t="s">
        <v>11</v>
      </c>
      <c r="I37" s="2">
        <v>200</v>
      </c>
      <c r="J37" s="2">
        <f>G37*I37</f>
        <v>7021.8</v>
      </c>
    </row>
    <row r="39" spans="1:2" ht="13.5">
      <c r="A39" s="2">
        <v>7</v>
      </c>
      <c r="B39" s="2" t="s">
        <v>25</v>
      </c>
    </row>
    <row r="40" spans="2:7" ht="13.5">
      <c r="B40" s="2" t="s">
        <v>26</v>
      </c>
      <c r="C40" s="2" t="s">
        <v>14</v>
      </c>
      <c r="D40" s="2">
        <f>D35</f>
        <v>58.71000000000001</v>
      </c>
      <c r="E40" s="2">
        <v>0.23</v>
      </c>
      <c r="F40" s="2">
        <v>0.23</v>
      </c>
      <c r="G40" s="14">
        <f>D40*E40*F40</f>
        <v>3.105759000000001</v>
      </c>
    </row>
    <row r="41" spans="2:7" ht="13.5">
      <c r="B41" s="2" t="s">
        <v>27</v>
      </c>
      <c r="C41" s="2" t="s">
        <v>14</v>
      </c>
      <c r="D41" s="2">
        <v>19.18</v>
      </c>
      <c r="E41" s="2">
        <v>0.23</v>
      </c>
      <c r="F41" s="2">
        <v>0.15</v>
      </c>
      <c r="G41" s="14">
        <f>D41*E41*F41</f>
        <v>0.66171</v>
      </c>
    </row>
    <row r="42" spans="7:10" ht="13.5">
      <c r="G42" s="15">
        <f>SUM(G40:G41)</f>
        <v>3.767469000000001</v>
      </c>
      <c r="H42" s="2" t="s">
        <v>18</v>
      </c>
      <c r="I42" s="2">
        <v>4500</v>
      </c>
      <c r="J42" s="2">
        <f>G42*I42</f>
        <v>16953.610500000006</v>
      </c>
    </row>
    <row r="44" spans="1:7" ht="13.5">
      <c r="A44" s="2">
        <v>8</v>
      </c>
      <c r="B44" s="2" t="s">
        <v>28</v>
      </c>
      <c r="C44" s="2" t="s">
        <v>14</v>
      </c>
      <c r="D44" s="2">
        <f>D40</f>
        <v>58.71000000000001</v>
      </c>
      <c r="E44" s="2">
        <v>0.23</v>
      </c>
      <c r="F44" s="2">
        <v>0.45</v>
      </c>
      <c r="G44" s="14">
        <f>F44*E44*D44</f>
        <v>6.076485000000002</v>
      </c>
    </row>
    <row r="45" spans="3:7" ht="13.5">
      <c r="C45" s="2" t="s">
        <v>14</v>
      </c>
      <c r="D45" s="2">
        <v>19.18</v>
      </c>
      <c r="E45" s="2">
        <v>0.23</v>
      </c>
      <c r="F45" s="12">
        <v>0.5</v>
      </c>
      <c r="G45" s="14">
        <f>F45*E45*D45</f>
        <v>2.2057</v>
      </c>
    </row>
    <row r="46" spans="7:10" ht="13.5">
      <c r="G46" s="15">
        <f>SUM(G44:G45)</f>
        <v>8.282185000000002</v>
      </c>
      <c r="H46" s="2" t="s">
        <v>18</v>
      </c>
      <c r="I46" s="2">
        <v>1550</v>
      </c>
      <c r="J46" s="2">
        <f>G46*I46</f>
        <v>12837.386750000003</v>
      </c>
    </row>
    <row r="48" spans="1:10" ht="13.5">
      <c r="A48" s="2">
        <v>9</v>
      </c>
      <c r="B48" s="2" t="s">
        <v>30</v>
      </c>
      <c r="G48" s="15">
        <f>G12-G24-G33-G42</f>
        <v>19.246895999999996</v>
      </c>
      <c r="H48" s="2" t="s">
        <v>31</v>
      </c>
      <c r="I48" s="2">
        <v>35</v>
      </c>
      <c r="J48" s="14">
        <f>G48*I48</f>
        <v>673.6413599999998</v>
      </c>
    </row>
    <row r="50" spans="1:10" ht="13.5">
      <c r="A50" s="2">
        <v>10</v>
      </c>
      <c r="B50" s="2" t="s">
        <v>32</v>
      </c>
      <c r="C50" s="2" t="s">
        <v>14</v>
      </c>
      <c r="D50" s="2">
        <f>D44</f>
        <v>58.71000000000001</v>
      </c>
      <c r="E50" s="2">
        <v>0.23</v>
      </c>
      <c r="G50" s="14">
        <f>D50*E50</f>
        <v>13.503300000000003</v>
      </c>
      <c r="H50" s="2" t="s">
        <v>11</v>
      </c>
      <c r="I50" s="2">
        <v>140</v>
      </c>
      <c r="J50" s="14">
        <f>G50*I50</f>
        <v>1890.4620000000004</v>
      </c>
    </row>
    <row r="52" spans="1:7" ht="13.5">
      <c r="A52" s="2">
        <v>11</v>
      </c>
      <c r="B52" s="2" t="s">
        <v>33</v>
      </c>
      <c r="C52" s="2" t="s">
        <v>14</v>
      </c>
      <c r="D52" s="2">
        <f>D50-1.5*2-D53</f>
        <v>50.75000000000001</v>
      </c>
      <c r="E52" s="2">
        <v>0.23</v>
      </c>
      <c r="F52" s="2">
        <v>2.75</v>
      </c>
      <c r="G52" s="14">
        <f>D52*E52*F52</f>
        <v>32.09937500000001</v>
      </c>
    </row>
    <row r="53" spans="3:7" ht="13.5">
      <c r="C53" s="2" t="s">
        <v>23</v>
      </c>
      <c r="D53" s="2">
        <f>3.23+1.73</f>
        <v>4.96</v>
      </c>
      <c r="E53" s="2">
        <v>0.23</v>
      </c>
      <c r="F53" s="2">
        <v>2.55</v>
      </c>
      <c r="G53" s="14">
        <f>D53*E53*F53*2</f>
        <v>5.81808</v>
      </c>
    </row>
    <row r="54" spans="2:7" ht="13.5">
      <c r="B54" s="2" t="s">
        <v>41</v>
      </c>
      <c r="C54" s="2" t="s">
        <v>42</v>
      </c>
      <c r="D54" s="12">
        <v>0.23</v>
      </c>
      <c r="E54" s="2">
        <v>0.23</v>
      </c>
      <c r="F54" s="12">
        <v>2.3</v>
      </c>
      <c r="G54" s="14">
        <f>D54*E54*F54*4</f>
        <v>0.48668</v>
      </c>
    </row>
    <row r="55" spans="2:7" ht="13.5">
      <c r="B55" s="2" t="s">
        <v>69</v>
      </c>
      <c r="C55" s="2" t="s">
        <v>23</v>
      </c>
      <c r="D55" s="12">
        <f>2+4.51</f>
        <v>6.51</v>
      </c>
      <c r="E55" s="2">
        <v>0.23</v>
      </c>
      <c r="F55" s="12">
        <v>0.45</v>
      </c>
      <c r="G55" s="14">
        <f>D55*E55*F55*2</f>
        <v>1.3475700000000002</v>
      </c>
    </row>
    <row r="56" ht="13.5">
      <c r="B56" s="2" t="s">
        <v>34</v>
      </c>
    </row>
    <row r="57" spans="2:7" ht="13.5">
      <c r="B57" s="16" t="s">
        <v>35</v>
      </c>
      <c r="C57" s="2" t="s">
        <v>23</v>
      </c>
      <c r="D57" s="12">
        <v>1</v>
      </c>
      <c r="E57" s="2">
        <v>0.23</v>
      </c>
      <c r="F57" s="12">
        <v>2.1</v>
      </c>
      <c r="G57" s="12">
        <f>D57*E57*F57*2*-1</f>
        <v>-0.9660000000000001</v>
      </c>
    </row>
    <row r="58" spans="2:7" ht="13.5">
      <c r="B58" s="16" t="s">
        <v>36</v>
      </c>
      <c r="C58" s="2" t="s">
        <v>37</v>
      </c>
      <c r="D58" s="2">
        <v>0.75</v>
      </c>
      <c r="E58" s="2">
        <v>0.23</v>
      </c>
      <c r="F58" s="2">
        <f>2.1-0.75</f>
        <v>1.35</v>
      </c>
      <c r="G58" s="12">
        <f>D58*E58*F58*8*-1</f>
        <v>-1.8630000000000002</v>
      </c>
    </row>
    <row r="59" spans="2:7" ht="13.5">
      <c r="B59" s="16" t="s">
        <v>38</v>
      </c>
      <c r="C59" s="2" t="s">
        <v>23</v>
      </c>
      <c r="D59" s="2">
        <v>0.75</v>
      </c>
      <c r="E59" s="2">
        <v>0.23</v>
      </c>
      <c r="F59" s="12">
        <f>2.1-1.5</f>
        <v>0.6000000000000001</v>
      </c>
      <c r="G59" s="12">
        <f>D59*E59*F59*2*-1</f>
        <v>-0.20700000000000005</v>
      </c>
    </row>
    <row r="60" spans="2:7" ht="13.5">
      <c r="B60" s="16" t="s">
        <v>39</v>
      </c>
      <c r="C60" s="2" t="s">
        <v>23</v>
      </c>
      <c r="D60" s="12">
        <v>1</v>
      </c>
      <c r="E60" s="2">
        <v>0.23</v>
      </c>
      <c r="F60" s="12">
        <v>2.1</v>
      </c>
      <c r="G60" s="12">
        <f>D60*E60*F60*2*-1</f>
        <v>-0.9660000000000001</v>
      </c>
    </row>
    <row r="61" spans="2:7" ht="13.5">
      <c r="B61" s="16" t="s">
        <v>40</v>
      </c>
      <c r="C61" s="2" t="s">
        <v>23</v>
      </c>
      <c r="D61" s="12">
        <v>1</v>
      </c>
      <c r="E61" s="2">
        <v>0.23</v>
      </c>
      <c r="F61" s="12">
        <v>2.1</v>
      </c>
      <c r="G61" s="12">
        <f>D61*E61*F61*2*-1</f>
        <v>-0.9660000000000001</v>
      </c>
    </row>
    <row r="62" spans="7:10" ht="13.5">
      <c r="G62" s="15">
        <f>SUM(G52:G61)</f>
        <v>34.783705000000005</v>
      </c>
      <c r="H62" s="2" t="s">
        <v>18</v>
      </c>
      <c r="I62" s="2">
        <v>1650</v>
      </c>
      <c r="J62" s="2">
        <f>G62*I62</f>
        <v>57393.11325000001</v>
      </c>
    </row>
    <row r="63" spans="1:7" ht="13.5">
      <c r="A63" s="2">
        <v>12</v>
      </c>
      <c r="B63" s="2" t="s">
        <v>43</v>
      </c>
      <c r="C63" s="2" t="s">
        <v>23</v>
      </c>
      <c r="D63" s="2">
        <v>1.73</v>
      </c>
      <c r="F63" s="2">
        <v>2.75</v>
      </c>
      <c r="G63" s="2">
        <f>D63*F63*2</f>
        <v>9.515</v>
      </c>
    </row>
    <row r="64" spans="2:7" ht="13.5">
      <c r="B64" s="2" t="s">
        <v>44</v>
      </c>
      <c r="C64" s="2" t="s">
        <v>23</v>
      </c>
      <c r="D64" s="2">
        <v>0.75</v>
      </c>
      <c r="F64" s="2">
        <v>2.1</v>
      </c>
      <c r="G64" s="2">
        <f>D64*F64*2*-1</f>
        <v>-3.1500000000000004</v>
      </c>
    </row>
    <row r="65" spans="7:10" ht="13.5">
      <c r="G65" s="3">
        <f>SUM(G63:G64)</f>
        <v>6.365</v>
      </c>
      <c r="H65" s="2" t="s">
        <v>11</v>
      </c>
      <c r="I65" s="2">
        <v>350</v>
      </c>
      <c r="J65" s="2">
        <f>G65*I65</f>
        <v>2227.75</v>
      </c>
    </row>
    <row r="67" spans="1:2" ht="13.5">
      <c r="A67" s="2">
        <v>13</v>
      </c>
      <c r="B67" s="2" t="s">
        <v>45</v>
      </c>
    </row>
    <row r="68" spans="2:7" ht="13.5">
      <c r="B68" s="16" t="s">
        <v>35</v>
      </c>
      <c r="C68" s="2" t="s">
        <v>23</v>
      </c>
      <c r="D68" s="12">
        <f>1+0.46</f>
        <v>1.46</v>
      </c>
      <c r="E68" s="2">
        <v>0.23</v>
      </c>
      <c r="F68" s="12">
        <v>0.23</v>
      </c>
      <c r="G68" s="12">
        <f>D68*E68*F68*2</f>
        <v>0.154468</v>
      </c>
    </row>
    <row r="69" spans="2:7" ht="13.5">
      <c r="B69" s="16" t="s">
        <v>36</v>
      </c>
      <c r="C69" s="2" t="s">
        <v>37</v>
      </c>
      <c r="D69" s="2">
        <f>0.75+0.46</f>
        <v>1.21</v>
      </c>
      <c r="E69" s="2">
        <v>0.23</v>
      </c>
      <c r="F69" s="12">
        <v>0.23</v>
      </c>
      <c r="G69" s="12">
        <f>D69*E69*F69*8</f>
        <v>0.512072</v>
      </c>
    </row>
    <row r="70" spans="2:7" ht="13.5">
      <c r="B70" s="16" t="s">
        <v>38</v>
      </c>
      <c r="C70" s="2" t="s">
        <v>23</v>
      </c>
      <c r="D70" s="2">
        <f>0.75+0.46</f>
        <v>1.21</v>
      </c>
      <c r="E70" s="2">
        <v>0.23</v>
      </c>
      <c r="F70" s="12">
        <v>0.23</v>
      </c>
      <c r="G70" s="12">
        <f>F70*E70*D70*2</f>
        <v>0.128018</v>
      </c>
    </row>
    <row r="71" spans="2:7" ht="13.5">
      <c r="B71" s="16" t="s">
        <v>40</v>
      </c>
      <c r="C71" s="2" t="s">
        <v>23</v>
      </c>
      <c r="D71" s="12">
        <f>1+0.46</f>
        <v>1.46</v>
      </c>
      <c r="E71" s="2">
        <v>0.23</v>
      </c>
      <c r="F71" s="12">
        <v>0.23</v>
      </c>
      <c r="G71" s="12">
        <f>F71*E71*D71*2</f>
        <v>0.154468</v>
      </c>
    </row>
    <row r="72" spans="2:7" ht="13.5">
      <c r="B72" s="16" t="s">
        <v>46</v>
      </c>
      <c r="C72" s="2" t="s">
        <v>23</v>
      </c>
      <c r="D72" s="2">
        <f>1.46</f>
        <v>1.46</v>
      </c>
      <c r="E72" s="12">
        <v>0.6</v>
      </c>
      <c r="F72" s="2">
        <v>0.07</v>
      </c>
      <c r="G72" s="12">
        <f>F72*E72*D72*2</f>
        <v>0.12264</v>
      </c>
    </row>
    <row r="73" spans="2:7" ht="13.5">
      <c r="B73" s="16" t="s">
        <v>47</v>
      </c>
      <c r="C73" s="2" t="s">
        <v>23</v>
      </c>
      <c r="D73" s="2">
        <f>2.85</f>
        <v>2.85</v>
      </c>
      <c r="E73" s="2">
        <v>0.6</v>
      </c>
      <c r="F73" s="2">
        <v>0.07</v>
      </c>
      <c r="G73" s="12">
        <f>F73*E73*D73*2</f>
        <v>0.23940000000000003</v>
      </c>
    </row>
    <row r="74" spans="2:7" ht="13.5">
      <c r="B74" s="1" t="s">
        <v>48</v>
      </c>
      <c r="C74" s="2" t="s">
        <v>42</v>
      </c>
      <c r="D74" s="2">
        <v>0.15</v>
      </c>
      <c r="E74" s="2">
        <v>0.15</v>
      </c>
      <c r="F74" s="12">
        <f>2.35+0.45</f>
        <v>2.8000000000000003</v>
      </c>
      <c r="G74" s="12">
        <f>D74*E74*F74*4</f>
        <v>0.252</v>
      </c>
    </row>
    <row r="75" spans="7:10" ht="13.5">
      <c r="G75" s="15">
        <f>SUM(G68:G74)</f>
        <v>1.563066</v>
      </c>
      <c r="H75" s="2" t="s">
        <v>18</v>
      </c>
      <c r="I75" s="2">
        <v>4700</v>
      </c>
      <c r="J75" s="12">
        <f>G75*I75</f>
        <v>7346.4102</v>
      </c>
    </row>
    <row r="76" ht="13.5">
      <c r="B76" s="1"/>
    </row>
    <row r="77" spans="1:2" ht="13.5">
      <c r="A77" s="2">
        <v>14</v>
      </c>
      <c r="B77" s="2" t="s">
        <v>49</v>
      </c>
    </row>
    <row r="78" spans="2:7" ht="13.5">
      <c r="B78" s="1" t="s">
        <v>50</v>
      </c>
      <c r="C78" s="2" t="s">
        <v>23</v>
      </c>
      <c r="D78" s="12">
        <v>4.5</v>
      </c>
      <c r="E78" s="12">
        <v>5</v>
      </c>
      <c r="F78" s="2">
        <f>0.35</f>
        <v>0.35</v>
      </c>
      <c r="G78" s="2">
        <f>D78*E78*F78*2</f>
        <v>15.749999999999998</v>
      </c>
    </row>
    <row r="79" spans="2:7" ht="13.5">
      <c r="B79" s="1" t="s">
        <v>51</v>
      </c>
      <c r="C79" s="2" t="s">
        <v>23</v>
      </c>
      <c r="D79" s="12">
        <v>3</v>
      </c>
      <c r="E79" s="12">
        <v>1.5</v>
      </c>
      <c r="F79" s="2">
        <v>0.35</v>
      </c>
      <c r="G79" s="2">
        <f>D79*E79*F79*2</f>
        <v>3.15</v>
      </c>
    </row>
    <row r="80" spans="2:7" ht="13.5">
      <c r="B80" s="1" t="s">
        <v>52</v>
      </c>
      <c r="C80" s="2" t="s">
        <v>14</v>
      </c>
      <c r="D80" s="12">
        <v>1.8</v>
      </c>
      <c r="E80" s="2">
        <v>3.46</v>
      </c>
      <c r="F80" s="2">
        <v>0.35</v>
      </c>
      <c r="G80" s="12">
        <f>D80*E80*F80*2</f>
        <v>4.3595999999999995</v>
      </c>
    </row>
    <row r="81" spans="2:7" ht="13.5">
      <c r="B81" s="1" t="s">
        <v>53</v>
      </c>
      <c r="C81" s="2" t="s">
        <v>14</v>
      </c>
      <c r="D81" s="2">
        <f>14.95</f>
        <v>14.95</v>
      </c>
      <c r="E81" s="2">
        <v>1.77</v>
      </c>
      <c r="F81" s="2">
        <v>0.35</v>
      </c>
      <c r="G81" s="12">
        <f>D81*E81*F81</f>
        <v>9.261524999999999</v>
      </c>
    </row>
    <row r="82" spans="2:7" ht="13.5">
      <c r="B82" s="1" t="s">
        <v>54</v>
      </c>
      <c r="C82" s="2" t="s">
        <v>14</v>
      </c>
      <c r="D82" s="2">
        <v>5.26</v>
      </c>
      <c r="E82" s="12">
        <v>2</v>
      </c>
      <c r="F82" s="2">
        <v>0.35</v>
      </c>
      <c r="G82" s="12">
        <f>D82*E82*F82</f>
        <v>3.6819999999999995</v>
      </c>
    </row>
    <row r="83" spans="7:10" ht="13.5">
      <c r="G83" s="15">
        <f>SUM(G78:G82)</f>
        <v>36.203125</v>
      </c>
      <c r="H83" s="2" t="s">
        <v>18</v>
      </c>
      <c r="I83" s="2">
        <v>250</v>
      </c>
      <c r="J83" s="2">
        <f>G83*I83</f>
        <v>9050.78125</v>
      </c>
    </row>
    <row r="85" spans="1:2" ht="13.5">
      <c r="A85" s="2">
        <v>15</v>
      </c>
      <c r="B85" s="2" t="s">
        <v>55</v>
      </c>
    </row>
    <row r="86" spans="2:7" ht="13.5">
      <c r="B86" s="1" t="s">
        <v>50</v>
      </c>
      <c r="C86" s="2" t="s">
        <v>23</v>
      </c>
      <c r="D86" s="12">
        <v>4.5</v>
      </c>
      <c r="E86" s="12">
        <v>5</v>
      </c>
      <c r="F86" s="2">
        <v>0.07</v>
      </c>
      <c r="G86" s="2">
        <f>D86*E86*F86*2</f>
        <v>3.1500000000000004</v>
      </c>
    </row>
    <row r="87" spans="2:7" ht="13.5">
      <c r="B87" s="1" t="s">
        <v>51</v>
      </c>
      <c r="C87" s="2" t="s">
        <v>23</v>
      </c>
      <c r="D87" s="12">
        <v>3</v>
      </c>
      <c r="E87" s="12">
        <v>1.5</v>
      </c>
      <c r="F87" s="2">
        <v>0.07</v>
      </c>
      <c r="G87" s="2">
        <f>D87*E87*F87*2</f>
        <v>0.6300000000000001</v>
      </c>
    </row>
    <row r="88" spans="2:7" ht="13.5">
      <c r="B88" s="1" t="s">
        <v>52</v>
      </c>
      <c r="C88" s="2" t="s">
        <v>14</v>
      </c>
      <c r="D88" s="12">
        <v>1.8</v>
      </c>
      <c r="E88" s="2">
        <v>3.46</v>
      </c>
      <c r="F88" s="2">
        <v>0.07</v>
      </c>
      <c r="G88" s="12">
        <f>D88*E88*F88*2</f>
        <v>0.87192</v>
      </c>
    </row>
    <row r="89" spans="2:7" ht="13.5">
      <c r="B89" s="1" t="s">
        <v>53</v>
      </c>
      <c r="C89" s="2" t="s">
        <v>14</v>
      </c>
      <c r="D89" s="2">
        <f>14.95</f>
        <v>14.95</v>
      </c>
      <c r="E89" s="2">
        <v>1.77</v>
      </c>
      <c r="F89" s="2">
        <v>0.07</v>
      </c>
      <c r="G89" s="12">
        <f>D89*E89*F89</f>
        <v>1.852305</v>
      </c>
    </row>
    <row r="90" spans="2:7" ht="13.5">
      <c r="B90" s="1" t="s">
        <v>54</v>
      </c>
      <c r="C90" s="2" t="s">
        <v>14</v>
      </c>
      <c r="D90" s="2">
        <v>5.26</v>
      </c>
      <c r="E90" s="12">
        <v>2</v>
      </c>
      <c r="F90" s="2">
        <v>0.07</v>
      </c>
      <c r="G90" s="12">
        <f>D90*E90*F90</f>
        <v>0.7364</v>
      </c>
    </row>
    <row r="91" spans="7:10" ht="13.5">
      <c r="G91" s="15">
        <f>SUM(G86:G90)</f>
        <v>7.2406250000000005</v>
      </c>
      <c r="H91" s="2" t="s">
        <v>18</v>
      </c>
      <c r="I91" s="2">
        <v>350</v>
      </c>
      <c r="J91" s="2">
        <f>G91*I91</f>
        <v>2534.21875</v>
      </c>
    </row>
    <row r="93" spans="1:7" ht="13.5">
      <c r="A93" s="2">
        <v>16</v>
      </c>
      <c r="B93" s="2" t="s">
        <v>56</v>
      </c>
      <c r="C93" s="2" t="s">
        <v>23</v>
      </c>
      <c r="D93" s="12">
        <v>4.5</v>
      </c>
      <c r="E93" s="12">
        <v>5</v>
      </c>
      <c r="F93" s="2">
        <v>0.1</v>
      </c>
      <c r="G93" s="12">
        <f>D93*E93*F93*2</f>
        <v>4.5</v>
      </c>
    </row>
    <row r="94" spans="3:7" ht="13.5">
      <c r="C94" s="2" t="s">
        <v>23</v>
      </c>
      <c r="D94" s="12">
        <v>3</v>
      </c>
      <c r="E94" s="12">
        <v>1.5</v>
      </c>
      <c r="F94" s="2">
        <v>0.1</v>
      </c>
      <c r="G94" s="12">
        <f>D94*E94*F94*2</f>
        <v>0.9</v>
      </c>
    </row>
    <row r="95" spans="3:7" ht="13.5">
      <c r="C95" s="2" t="s">
        <v>14</v>
      </c>
      <c r="D95" s="12">
        <v>1.8</v>
      </c>
      <c r="E95" s="2">
        <v>3.46</v>
      </c>
      <c r="F95" s="2">
        <v>0.1</v>
      </c>
      <c r="G95" s="12">
        <f>D95*E95*F95*2</f>
        <v>1.2456</v>
      </c>
    </row>
    <row r="96" spans="3:7" ht="13.5">
      <c r="C96" s="2" t="s">
        <v>14</v>
      </c>
      <c r="D96" s="2">
        <f>14.95</f>
        <v>14.95</v>
      </c>
      <c r="E96" s="2">
        <v>1.77</v>
      </c>
      <c r="F96" s="2">
        <v>0.1</v>
      </c>
      <c r="G96" s="12">
        <f>D96*E96*F96</f>
        <v>2.64615</v>
      </c>
    </row>
    <row r="97" spans="3:7" ht="13.5">
      <c r="C97" s="2" t="s">
        <v>14</v>
      </c>
      <c r="D97" s="2">
        <v>5.26</v>
      </c>
      <c r="E97" s="12">
        <v>2</v>
      </c>
      <c r="F97" s="2">
        <v>0.1</v>
      </c>
      <c r="G97" s="12">
        <f>D97*E97*F97</f>
        <v>1.052</v>
      </c>
    </row>
    <row r="98" spans="7:10" ht="13.5">
      <c r="G98" s="15">
        <f>SUM(G93:G97)</f>
        <v>10.34375</v>
      </c>
      <c r="H98" s="2" t="s">
        <v>18</v>
      </c>
      <c r="I98" s="2">
        <v>2000</v>
      </c>
      <c r="J98" s="2">
        <f>G98*I98</f>
        <v>20687.5</v>
      </c>
    </row>
    <row r="100" spans="1:7" ht="13.5">
      <c r="A100" s="2">
        <v>17</v>
      </c>
      <c r="B100" s="2" t="s">
        <v>57</v>
      </c>
      <c r="C100" s="2" t="s">
        <v>14</v>
      </c>
      <c r="D100" s="2">
        <v>5.46</v>
      </c>
      <c r="E100" s="2">
        <v>15.18</v>
      </c>
      <c r="F100" s="2">
        <v>0.11</v>
      </c>
      <c r="G100" s="14">
        <f>D100*E100*F100</f>
        <v>9.117108</v>
      </c>
    </row>
    <row r="101" spans="2:7" ht="13.5">
      <c r="B101" s="2" t="s">
        <v>58</v>
      </c>
      <c r="C101" s="2" t="s">
        <v>14</v>
      </c>
      <c r="D101" s="2">
        <f>5.26+0.3*2</f>
        <v>5.859999999999999</v>
      </c>
      <c r="E101" s="2">
        <v>0.23</v>
      </c>
      <c r="F101" s="12">
        <v>0.3</v>
      </c>
      <c r="G101" s="14">
        <f>D101*E101*F101</f>
        <v>0.40434</v>
      </c>
    </row>
    <row r="102" spans="3:7" ht="13.5">
      <c r="C102" s="2" t="s">
        <v>14</v>
      </c>
      <c r="D102" s="2">
        <f>(5.23*2+4.73*2)*2</f>
        <v>39.84</v>
      </c>
      <c r="E102" s="2">
        <v>0.23</v>
      </c>
      <c r="F102" s="2">
        <v>0.15</v>
      </c>
      <c r="G102" s="14">
        <f>D102*E102*F102</f>
        <v>1.3744800000000001</v>
      </c>
    </row>
    <row r="103" spans="2:7" ht="13.5">
      <c r="B103" s="2" t="s">
        <v>59</v>
      </c>
      <c r="C103" s="2" t="s">
        <v>14</v>
      </c>
      <c r="D103" s="2">
        <f>15.18</f>
        <v>15.18</v>
      </c>
      <c r="E103" s="2">
        <v>0.23</v>
      </c>
      <c r="F103" s="2">
        <v>0.25</v>
      </c>
      <c r="G103" s="14">
        <f>D103*E103*F103</f>
        <v>0.87285</v>
      </c>
    </row>
    <row r="104" spans="2:7" ht="13.5">
      <c r="B104" s="16" t="s">
        <v>60</v>
      </c>
      <c r="C104" s="2" t="s">
        <v>14</v>
      </c>
      <c r="D104" s="2">
        <v>3.46</v>
      </c>
      <c r="E104" s="12">
        <v>1.8</v>
      </c>
      <c r="F104" s="2">
        <v>0.12</v>
      </c>
      <c r="G104" s="14">
        <f>D104*E104*F104*-1</f>
        <v>-0.7473599999999999</v>
      </c>
    </row>
    <row r="105" spans="7:10" ht="13.5">
      <c r="G105" s="15">
        <f>SUM(G100:G104)</f>
        <v>11.021417999999999</v>
      </c>
      <c r="H105" s="2" t="s">
        <v>18</v>
      </c>
      <c r="I105" s="2">
        <v>5500</v>
      </c>
      <c r="J105" s="2">
        <f>G105*I105</f>
        <v>60617.79899999999</v>
      </c>
    </row>
    <row r="107" spans="1:10" ht="13.5">
      <c r="A107" s="2">
        <v>18</v>
      </c>
      <c r="B107" s="2" t="s">
        <v>88</v>
      </c>
      <c r="C107" s="2" t="s">
        <v>14</v>
      </c>
      <c r="D107" s="2">
        <v>15.18</v>
      </c>
      <c r="E107" s="2">
        <v>2.73</v>
      </c>
      <c r="G107" s="13">
        <f>D107*E107</f>
        <v>41.4414</v>
      </c>
      <c r="H107" s="2" t="s">
        <v>11</v>
      </c>
      <c r="I107" s="2">
        <v>475</v>
      </c>
      <c r="J107" s="14">
        <f>G107*I107</f>
        <v>19684.665</v>
      </c>
    </row>
    <row r="109" spans="1:7" ht="13.5">
      <c r="A109" s="2">
        <v>19</v>
      </c>
      <c r="B109" s="2" t="s">
        <v>61</v>
      </c>
      <c r="C109" s="2" t="s">
        <v>23</v>
      </c>
      <c r="D109" s="12">
        <f>4.5*2+5*2</f>
        <v>19</v>
      </c>
      <c r="F109" s="2">
        <f>2.85-0.11</f>
        <v>2.74</v>
      </c>
      <c r="G109" s="2">
        <f>D109*F109*2</f>
        <v>104.12</v>
      </c>
    </row>
    <row r="110" spans="3:7" ht="13.5">
      <c r="C110" s="2" t="s">
        <v>23</v>
      </c>
      <c r="D110" s="12">
        <v>6.77</v>
      </c>
      <c r="F110" s="2">
        <v>2.74</v>
      </c>
      <c r="G110" s="12">
        <f>D110*F110*2</f>
        <v>37.0996</v>
      </c>
    </row>
    <row r="111" spans="3:7" ht="13.5">
      <c r="C111" s="2" t="s">
        <v>23</v>
      </c>
      <c r="D111" s="12">
        <v>5</v>
      </c>
      <c r="F111" s="2">
        <v>2.74</v>
      </c>
      <c r="G111" s="12">
        <f>D111*F111*2</f>
        <v>27.400000000000002</v>
      </c>
    </row>
    <row r="112" spans="2:7" ht="13.5">
      <c r="B112" s="2" t="s">
        <v>62</v>
      </c>
      <c r="C112" s="2" t="s">
        <v>23</v>
      </c>
      <c r="D112" s="2">
        <v>3.46</v>
      </c>
      <c r="F112" s="12">
        <f>2.75+0.85</f>
        <v>3.6</v>
      </c>
      <c r="G112" s="12">
        <f>D112*F112*2</f>
        <v>24.912</v>
      </c>
    </row>
    <row r="113" spans="3:7" ht="13.5">
      <c r="C113" s="2" t="s">
        <v>14</v>
      </c>
      <c r="D113" s="12">
        <v>1.8</v>
      </c>
      <c r="F113" s="12">
        <v>3.6</v>
      </c>
      <c r="G113" s="2">
        <f>D113*F113</f>
        <v>6.48</v>
      </c>
    </row>
    <row r="114" spans="2:7" ht="13.5">
      <c r="B114" s="2" t="s">
        <v>64</v>
      </c>
      <c r="C114" s="2" t="s">
        <v>37</v>
      </c>
      <c r="D114" s="12">
        <f>1.35*2+0.75*2</f>
        <v>4.2</v>
      </c>
      <c r="F114" s="12">
        <v>0.23</v>
      </c>
      <c r="G114" s="12">
        <f>D114*F114*8</f>
        <v>7.728000000000001</v>
      </c>
    </row>
    <row r="115" spans="2:7" ht="13.5">
      <c r="B115" s="2" t="s">
        <v>38</v>
      </c>
      <c r="C115" s="2" t="s">
        <v>23</v>
      </c>
      <c r="D115" s="12">
        <f>0.6*2+0.75*2</f>
        <v>2.7</v>
      </c>
      <c r="F115" s="12">
        <v>0.23</v>
      </c>
      <c r="G115" s="12">
        <f>F115*D115*2</f>
        <v>1.2420000000000002</v>
      </c>
    </row>
    <row r="116" spans="2:7" ht="13.5">
      <c r="B116" s="2" t="s">
        <v>65</v>
      </c>
      <c r="C116" s="2" t="s">
        <v>37</v>
      </c>
      <c r="D116" s="12">
        <f>2.1*2+1*2</f>
        <v>6.2</v>
      </c>
      <c r="F116" s="12">
        <v>0.23</v>
      </c>
      <c r="G116" s="12">
        <f>D116*F116*8</f>
        <v>11.408000000000001</v>
      </c>
    </row>
    <row r="117" spans="4:6" ht="13.5">
      <c r="D117" s="12"/>
      <c r="F117" s="12"/>
    </row>
    <row r="118" spans="2:7" ht="13.5">
      <c r="B118" s="2" t="s">
        <v>63</v>
      </c>
      <c r="C118" s="2" t="s">
        <v>37</v>
      </c>
      <c r="D118" s="2">
        <v>0.75</v>
      </c>
      <c r="F118" s="2">
        <f>2.1-0.75</f>
        <v>1.35</v>
      </c>
      <c r="G118" s="12">
        <f>F118*D118*8*-1</f>
        <v>-8.100000000000001</v>
      </c>
    </row>
    <row r="119" spans="2:7" ht="13.5">
      <c r="B119" s="16" t="s">
        <v>39</v>
      </c>
      <c r="C119" s="2" t="s">
        <v>23</v>
      </c>
      <c r="D119" s="12">
        <v>1</v>
      </c>
      <c r="F119" s="12">
        <v>2.1</v>
      </c>
      <c r="G119" s="12">
        <f>D119*F119*2*-1</f>
        <v>-4.2</v>
      </c>
    </row>
    <row r="120" spans="2:7" ht="13.5">
      <c r="B120" s="16" t="s">
        <v>35</v>
      </c>
      <c r="C120" s="2" t="s">
        <v>23</v>
      </c>
      <c r="D120" s="12">
        <v>1</v>
      </c>
      <c r="F120" s="12">
        <v>2.1</v>
      </c>
      <c r="G120" s="12">
        <f>D120*F120*2*-1</f>
        <v>-4.2</v>
      </c>
    </row>
    <row r="121" spans="2:7" ht="13.5">
      <c r="B121" s="16" t="s">
        <v>66</v>
      </c>
      <c r="C121" s="2" t="s">
        <v>23</v>
      </c>
      <c r="D121" s="2">
        <v>0.75</v>
      </c>
      <c r="F121" s="2">
        <v>2.1</v>
      </c>
      <c r="G121" s="12">
        <f>D121*F121*2*-1</f>
        <v>-3.1500000000000004</v>
      </c>
    </row>
    <row r="122" spans="2:7" ht="13.5">
      <c r="B122" s="16" t="s">
        <v>40</v>
      </c>
      <c r="C122" s="2" t="s">
        <v>23</v>
      </c>
      <c r="D122" s="12">
        <v>1</v>
      </c>
      <c r="F122" s="2">
        <v>2.1</v>
      </c>
      <c r="G122" s="12">
        <f>D122*F122*2*-1</f>
        <v>-4.2</v>
      </c>
    </row>
    <row r="123" spans="2:7" ht="13.5">
      <c r="B123" s="16" t="s">
        <v>38</v>
      </c>
      <c r="C123" s="2" t="s">
        <v>23</v>
      </c>
      <c r="D123" s="2">
        <v>0.75</v>
      </c>
      <c r="F123" s="2">
        <v>0.6</v>
      </c>
      <c r="G123" s="12">
        <f>D123*F123*2*-1</f>
        <v>-0.8999999999999999</v>
      </c>
    </row>
    <row r="124" spans="7:10" ht="13.5">
      <c r="G124" s="15">
        <f>SUM(G109:G123)</f>
        <v>195.63960000000006</v>
      </c>
      <c r="H124" s="2" t="s">
        <v>11</v>
      </c>
      <c r="I124" s="2">
        <v>100</v>
      </c>
      <c r="J124" s="2">
        <f>G124*I124</f>
        <v>19563.960000000006</v>
      </c>
    </row>
    <row r="126" spans="1:10" ht="13.5">
      <c r="A126" s="2">
        <v>20</v>
      </c>
      <c r="B126" s="2" t="s">
        <v>67</v>
      </c>
      <c r="C126" s="2" t="s">
        <v>14</v>
      </c>
      <c r="D126" s="2">
        <v>43.5</v>
      </c>
      <c r="F126" s="12">
        <f>2.75+0.85+0.5+0.1</f>
        <v>4.199999999999999</v>
      </c>
      <c r="G126" s="2">
        <f>D126*F126</f>
        <v>182.69999999999996</v>
      </c>
      <c r="J126" s="12"/>
    </row>
    <row r="127" spans="2:10" ht="13.5">
      <c r="B127" s="2" t="s">
        <v>70</v>
      </c>
      <c r="C127" s="2" t="s">
        <v>23</v>
      </c>
      <c r="D127" s="2">
        <v>6.51</v>
      </c>
      <c r="F127" s="12">
        <v>0.45</v>
      </c>
      <c r="G127" s="12">
        <f>D127*F127*2</f>
        <v>5.859</v>
      </c>
      <c r="J127" s="12"/>
    </row>
    <row r="128" spans="2:7" ht="13.5">
      <c r="B128" s="2" t="s">
        <v>68</v>
      </c>
      <c r="C128" s="2" t="s">
        <v>37</v>
      </c>
      <c r="D128" s="2">
        <v>0.75</v>
      </c>
      <c r="F128" s="2">
        <v>1.35</v>
      </c>
      <c r="G128" s="12">
        <f>D128*F128*-8</f>
        <v>-8.100000000000001</v>
      </c>
    </row>
    <row r="129" spans="2:7" ht="13.5">
      <c r="B129" s="16" t="s">
        <v>35</v>
      </c>
      <c r="C129" s="2" t="s">
        <v>23</v>
      </c>
      <c r="D129" s="12">
        <v>1</v>
      </c>
      <c r="F129" s="12">
        <v>2.1</v>
      </c>
      <c r="G129" s="12">
        <f>D129*F129*-2</f>
        <v>-4.2</v>
      </c>
    </row>
    <row r="130" spans="7:10" ht="13.5">
      <c r="G130" s="3">
        <f>SUM(G126:G129)</f>
        <v>176.259</v>
      </c>
      <c r="H130" s="2" t="s">
        <v>11</v>
      </c>
      <c r="I130" s="2">
        <v>50</v>
      </c>
      <c r="J130" s="12">
        <f>G130*I130</f>
        <v>8812.949999999999</v>
      </c>
    </row>
    <row r="132" spans="1:7" ht="13.5">
      <c r="A132" s="2">
        <v>20</v>
      </c>
      <c r="B132" s="2" t="s">
        <v>87</v>
      </c>
      <c r="C132" s="2" t="s">
        <v>23</v>
      </c>
      <c r="D132" s="2">
        <f>1+0.46+0.1</f>
        <v>1.56</v>
      </c>
      <c r="F132" s="2">
        <v>0.6</v>
      </c>
      <c r="G132" s="2">
        <f>D132*F132*2</f>
        <v>1.8719999999999999</v>
      </c>
    </row>
    <row r="133" spans="3:7" ht="13.5">
      <c r="C133" s="2" t="s">
        <v>23</v>
      </c>
      <c r="D133" s="2">
        <f>2.83+0.1</f>
        <v>2.93</v>
      </c>
      <c r="F133" s="2">
        <v>0.6</v>
      </c>
      <c r="G133" s="2">
        <f>D133*F133*2</f>
        <v>3.516</v>
      </c>
    </row>
    <row r="134" spans="7:10" ht="13.5">
      <c r="G134" s="3">
        <f>SUM(G132:G133)</f>
        <v>5.388</v>
      </c>
      <c r="H134" s="2" t="s">
        <v>11</v>
      </c>
      <c r="I134" s="2">
        <v>100</v>
      </c>
      <c r="J134" s="2">
        <f>G134*I134</f>
        <v>538.8</v>
      </c>
    </row>
    <row r="136" spans="1:2" ht="13.5">
      <c r="A136" s="2">
        <v>20</v>
      </c>
      <c r="B136" s="2" t="s">
        <v>71</v>
      </c>
    </row>
    <row r="137" spans="2:7" ht="13.5">
      <c r="B137" s="1" t="s">
        <v>50</v>
      </c>
      <c r="C137" s="2" t="s">
        <v>23</v>
      </c>
      <c r="D137" s="12">
        <v>4.5</v>
      </c>
      <c r="E137" s="12">
        <v>5</v>
      </c>
      <c r="G137" s="12">
        <f>D137*E137*2</f>
        <v>45</v>
      </c>
    </row>
    <row r="138" spans="2:7" ht="13.5">
      <c r="B138" s="1" t="s">
        <v>51</v>
      </c>
      <c r="C138" s="2" t="s">
        <v>23</v>
      </c>
      <c r="D138" s="12">
        <v>3</v>
      </c>
      <c r="E138" s="12">
        <v>1.5</v>
      </c>
      <c r="G138" s="12">
        <f>D138*E138*2</f>
        <v>9</v>
      </c>
    </row>
    <row r="139" spans="2:7" ht="13.5">
      <c r="B139" s="1" t="s">
        <v>52</v>
      </c>
      <c r="C139" s="2" t="s">
        <v>14</v>
      </c>
      <c r="D139" s="12">
        <v>1.8</v>
      </c>
      <c r="E139" s="2">
        <v>3.46</v>
      </c>
      <c r="G139" s="12">
        <f>D139*E139</f>
        <v>6.228</v>
      </c>
    </row>
    <row r="140" spans="2:7" ht="13.5">
      <c r="B140" s="1" t="s">
        <v>53</v>
      </c>
      <c r="C140" s="2" t="s">
        <v>14</v>
      </c>
      <c r="D140" s="2">
        <f>14.95</f>
        <v>14.95</v>
      </c>
      <c r="E140" s="2">
        <v>1.77</v>
      </c>
      <c r="G140" s="12">
        <f>D140*E140</f>
        <v>26.461499999999997</v>
      </c>
    </row>
    <row r="141" spans="2:7" ht="13.5">
      <c r="B141" s="1" t="s">
        <v>54</v>
      </c>
      <c r="C141" s="2" t="s">
        <v>14</v>
      </c>
      <c r="D141" s="2">
        <v>5.26</v>
      </c>
      <c r="E141" s="12">
        <v>2</v>
      </c>
      <c r="G141" s="12">
        <f>D141*E141</f>
        <v>10.52</v>
      </c>
    </row>
    <row r="142" spans="2:7" ht="13.5">
      <c r="B142" s="1" t="s">
        <v>72</v>
      </c>
      <c r="C142" s="2" t="s">
        <v>14</v>
      </c>
      <c r="D142" s="12">
        <f>0.25+0.15+0.25+0.15</f>
        <v>0.8</v>
      </c>
      <c r="E142" s="12">
        <v>5.26</v>
      </c>
      <c r="G142" s="12">
        <f>D142*E142</f>
        <v>4.208</v>
      </c>
    </row>
    <row r="143" spans="2:7" ht="13.5">
      <c r="B143" s="1" t="s">
        <v>73</v>
      </c>
      <c r="C143" s="2" t="s">
        <v>37</v>
      </c>
      <c r="D143" s="12">
        <f>1</f>
        <v>1</v>
      </c>
      <c r="E143" s="12">
        <v>0.23</v>
      </c>
      <c r="G143" s="12">
        <f>D143*E143*8</f>
        <v>1.84</v>
      </c>
    </row>
    <row r="144" spans="7:10" ht="13.5">
      <c r="G144" s="15">
        <f>SUM(G137:G143)</f>
        <v>103.2575</v>
      </c>
      <c r="H144" s="2" t="s">
        <v>11</v>
      </c>
      <c r="I144" s="2">
        <v>135</v>
      </c>
      <c r="J144" s="2">
        <f>G144*I144</f>
        <v>13939.762499999999</v>
      </c>
    </row>
    <row r="145" ht="13.5">
      <c r="G145" s="15"/>
    </row>
    <row r="147" spans="1:2" ht="13.5">
      <c r="A147" s="2">
        <v>21</v>
      </c>
      <c r="B147" s="2" t="s">
        <v>74</v>
      </c>
    </row>
    <row r="148" spans="2:7" ht="13.5">
      <c r="B148" s="16" t="s">
        <v>35</v>
      </c>
      <c r="C148" s="2" t="s">
        <v>23</v>
      </c>
      <c r="D148" s="2">
        <v>1</v>
      </c>
      <c r="F148" s="2">
        <v>2.1</v>
      </c>
      <c r="G148" s="12">
        <f>D148*F148*2</f>
        <v>4.2</v>
      </c>
    </row>
    <row r="149" spans="2:7" ht="13.5">
      <c r="B149" s="16" t="s">
        <v>36</v>
      </c>
      <c r="C149" s="2" t="s">
        <v>37</v>
      </c>
      <c r="D149" s="2">
        <v>0.75</v>
      </c>
      <c r="F149" s="2">
        <v>1.35</v>
      </c>
      <c r="G149" s="12">
        <f>D149*F149*8</f>
        <v>8.100000000000001</v>
      </c>
    </row>
    <row r="150" spans="2:7" ht="13.5">
      <c r="B150" s="16" t="s">
        <v>38</v>
      </c>
      <c r="C150" s="2" t="s">
        <v>23</v>
      </c>
      <c r="D150" s="2">
        <f>0.75</f>
        <v>0.75</v>
      </c>
      <c r="F150" s="2">
        <v>0.6</v>
      </c>
      <c r="G150" s="12">
        <f>D150*F150*2</f>
        <v>0.8999999999999999</v>
      </c>
    </row>
    <row r="151" spans="7:10" ht="13.5">
      <c r="G151" s="13">
        <f>SUM(G148:G150)</f>
        <v>13.200000000000001</v>
      </c>
      <c r="H151" s="2" t="s">
        <v>11</v>
      </c>
      <c r="I151" s="2">
        <v>800</v>
      </c>
      <c r="J151" s="12">
        <f>G151*I151</f>
        <v>10560</v>
      </c>
    </row>
    <row r="153" spans="1:2" ht="13.5">
      <c r="A153" s="2">
        <v>22</v>
      </c>
      <c r="B153" s="2" t="s">
        <v>75</v>
      </c>
    </row>
    <row r="154" spans="2:7" ht="13.5">
      <c r="B154" s="16" t="s">
        <v>35</v>
      </c>
      <c r="C154" s="2" t="s">
        <v>76</v>
      </c>
      <c r="D154" s="2">
        <v>1</v>
      </c>
      <c r="F154" s="2">
        <v>2.1</v>
      </c>
      <c r="G154" s="12">
        <f>D154*F154*2*2</f>
        <v>8.4</v>
      </c>
    </row>
    <row r="155" spans="2:7" ht="13.5">
      <c r="B155" s="16" t="s">
        <v>36</v>
      </c>
      <c r="C155" s="2" t="s">
        <v>77</v>
      </c>
      <c r="D155" s="2">
        <v>0.75</v>
      </c>
      <c r="F155" s="2">
        <v>1.35</v>
      </c>
      <c r="G155" s="12">
        <f>D155*F155*8*2</f>
        <v>16.200000000000003</v>
      </c>
    </row>
    <row r="156" spans="2:7" ht="13.5">
      <c r="B156" s="16" t="s">
        <v>38</v>
      </c>
      <c r="C156" s="2" t="s">
        <v>76</v>
      </c>
      <c r="D156" s="2">
        <f>0.75</f>
        <v>0.75</v>
      </c>
      <c r="F156" s="2">
        <v>0.6</v>
      </c>
      <c r="G156" s="12">
        <f>D156*F156*2*2</f>
        <v>1.7999999999999998</v>
      </c>
    </row>
    <row r="157" spans="7:10" ht="13.5">
      <c r="G157" s="13">
        <f>SUM(G154:G156)</f>
        <v>26.400000000000002</v>
      </c>
      <c r="H157" s="2" t="s">
        <v>11</v>
      </c>
      <c r="I157" s="2">
        <v>80</v>
      </c>
      <c r="J157" s="12">
        <f>G157*I157</f>
        <v>2112</v>
      </c>
    </row>
    <row r="159" spans="1:2" ht="13.5">
      <c r="A159" s="2">
        <v>23</v>
      </c>
      <c r="B159" s="2" t="s">
        <v>78</v>
      </c>
    </row>
    <row r="160" spans="2:7" ht="13.5">
      <c r="B160" s="16" t="s">
        <v>40</v>
      </c>
      <c r="C160" s="2" t="s">
        <v>23</v>
      </c>
      <c r="D160" s="12">
        <v>1</v>
      </c>
      <c r="F160" s="12">
        <v>2.1</v>
      </c>
      <c r="G160" s="12">
        <f>D160*F160*2</f>
        <v>4.2</v>
      </c>
    </row>
    <row r="161" spans="2:7" ht="13.5">
      <c r="B161" s="16" t="s">
        <v>66</v>
      </c>
      <c r="C161" s="2" t="s">
        <v>23</v>
      </c>
      <c r="D161" s="2">
        <v>0.75</v>
      </c>
      <c r="F161" s="12">
        <v>2.1</v>
      </c>
      <c r="G161" s="12">
        <f>D161*F161*2</f>
        <v>3.1500000000000004</v>
      </c>
    </row>
    <row r="162" spans="6:10" ht="13.5">
      <c r="F162" s="12"/>
      <c r="G162" s="13">
        <f>SUM(G160:G161)</f>
        <v>7.3500000000000005</v>
      </c>
      <c r="H162" s="2" t="s">
        <v>11</v>
      </c>
      <c r="I162" s="2">
        <v>1300</v>
      </c>
      <c r="J162" s="12">
        <f>G162*I162</f>
        <v>9555</v>
      </c>
    </row>
    <row r="163" spans="1:6" ht="13.5">
      <c r="A163" s="2">
        <v>24</v>
      </c>
      <c r="B163" s="2" t="s">
        <v>79</v>
      </c>
      <c r="F163" s="12"/>
    </row>
    <row r="164" spans="2:7" ht="13.5">
      <c r="B164" s="16" t="s">
        <v>40</v>
      </c>
      <c r="C164" s="2" t="s">
        <v>76</v>
      </c>
      <c r="D164" s="12">
        <v>1</v>
      </c>
      <c r="F164" s="12">
        <v>2.1</v>
      </c>
      <c r="G164" s="12">
        <f>D164*F164*4</f>
        <v>8.4</v>
      </c>
    </row>
    <row r="165" spans="2:7" ht="13.5">
      <c r="B165" s="16" t="s">
        <v>66</v>
      </c>
      <c r="C165" s="2" t="s">
        <v>76</v>
      </c>
      <c r="D165" s="2">
        <v>0.75</v>
      </c>
      <c r="F165" s="12">
        <v>2.1</v>
      </c>
      <c r="G165" s="12">
        <f>D165*F165*4</f>
        <v>6.300000000000001</v>
      </c>
    </row>
    <row r="166" spans="7:10" ht="13.5">
      <c r="G166" s="13">
        <f>SUM(G164:G165)</f>
        <v>14.700000000000001</v>
      </c>
      <c r="H166" s="2" t="s">
        <v>11</v>
      </c>
      <c r="I166" s="2">
        <v>120</v>
      </c>
      <c r="J166" s="12">
        <f>G166*I166</f>
        <v>1764.0000000000002</v>
      </c>
    </row>
    <row r="167" ht="13.5">
      <c r="B167" s="2" t="s">
        <v>85</v>
      </c>
    </row>
    <row r="168" spans="1:10" ht="13.5">
      <c r="A168" s="2">
        <v>25</v>
      </c>
      <c r="B168" s="2" t="s">
        <v>80</v>
      </c>
      <c r="C168" s="2">
        <v>14</v>
      </c>
      <c r="G168" s="12">
        <f>C168</f>
        <v>14</v>
      </c>
      <c r="H168" s="2" t="s">
        <v>81</v>
      </c>
      <c r="I168" s="2">
        <v>700</v>
      </c>
      <c r="J168" s="12">
        <f>G168*I168</f>
        <v>9800</v>
      </c>
    </row>
    <row r="169" spans="2:10" ht="13.5">
      <c r="B169" s="2" t="s">
        <v>82</v>
      </c>
      <c r="C169" s="2">
        <v>1</v>
      </c>
      <c r="D169" s="2">
        <f>1.8+0.46</f>
        <v>2.2600000000000002</v>
      </c>
      <c r="E169" s="2">
        <v>1.36</v>
      </c>
      <c r="F169" s="2">
        <v>0.07</v>
      </c>
      <c r="G169" s="14">
        <f>F169*E169*D169*C169</f>
        <v>0.21515200000000007</v>
      </c>
      <c r="H169" s="2" t="s">
        <v>18</v>
      </c>
      <c r="I169" s="2">
        <v>5500</v>
      </c>
      <c r="J169" s="12">
        <f>G169*I169</f>
        <v>1183.3360000000005</v>
      </c>
    </row>
    <row r="171" spans="1:10" ht="13.5">
      <c r="A171" s="2">
        <v>26</v>
      </c>
      <c r="B171" s="2" t="s">
        <v>83</v>
      </c>
      <c r="C171" s="2" t="s">
        <v>14</v>
      </c>
      <c r="D171" s="12">
        <f>2.5*2</f>
        <v>5</v>
      </c>
      <c r="E171" s="2">
        <v>0.75</v>
      </c>
      <c r="G171" s="13">
        <f>D171</f>
        <v>5</v>
      </c>
      <c r="H171" s="2" t="s">
        <v>84</v>
      </c>
      <c r="I171" s="12">
        <v>650</v>
      </c>
      <c r="J171" s="12">
        <f>G171*I171</f>
        <v>3250</v>
      </c>
    </row>
    <row r="172" ht="13.5">
      <c r="J172" s="12"/>
    </row>
    <row r="173" spans="1:10" ht="13.5">
      <c r="A173" s="2">
        <v>27</v>
      </c>
      <c r="B173" s="2" t="s">
        <v>86</v>
      </c>
      <c r="C173" s="2" t="s">
        <v>14</v>
      </c>
      <c r="D173" s="2">
        <f>6.51</f>
        <v>6.51</v>
      </c>
      <c r="E173" s="2">
        <v>0.45</v>
      </c>
      <c r="G173" s="13">
        <f>E173*D173</f>
        <v>2.9295</v>
      </c>
      <c r="H173" s="2" t="s">
        <v>11</v>
      </c>
      <c r="I173" s="2">
        <f>15*10.764+100</f>
        <v>261.46</v>
      </c>
      <c r="J173" s="12">
        <f>G173*I173</f>
        <v>765.9470699999999</v>
      </c>
    </row>
    <row r="175" spans="1:10" ht="13.5">
      <c r="A175" s="2">
        <v>28</v>
      </c>
      <c r="B175" s="2" t="s">
        <v>96</v>
      </c>
      <c r="C175" s="2" t="s">
        <v>23</v>
      </c>
      <c r="G175" s="2">
        <v>2</v>
      </c>
      <c r="H175" s="2" t="s">
        <v>81</v>
      </c>
      <c r="I175" s="2">
        <v>450</v>
      </c>
      <c r="J175" s="12">
        <f>G175*I175</f>
        <v>900</v>
      </c>
    </row>
    <row r="177" spans="1:10" ht="13.5">
      <c r="A177" s="2">
        <v>29</v>
      </c>
      <c r="B177" s="2" t="s">
        <v>97</v>
      </c>
      <c r="C177" s="2" t="s">
        <v>23</v>
      </c>
      <c r="G177" s="2">
        <v>2</v>
      </c>
      <c r="H177" s="2" t="s">
        <v>81</v>
      </c>
      <c r="I177" s="2">
        <v>350</v>
      </c>
      <c r="J177" s="12">
        <f>G177*I177</f>
        <v>700</v>
      </c>
    </row>
    <row r="178" ht="13.5">
      <c r="J178" s="12"/>
    </row>
    <row r="179" spans="1:10" ht="13.5">
      <c r="A179" s="2">
        <v>30</v>
      </c>
      <c r="B179" s="2" t="s">
        <v>98</v>
      </c>
      <c r="C179" s="2" t="s">
        <v>23</v>
      </c>
      <c r="G179" s="2">
        <v>2</v>
      </c>
      <c r="H179" s="2" t="s">
        <v>81</v>
      </c>
      <c r="I179" s="2">
        <v>550</v>
      </c>
      <c r="J179" s="12">
        <f>G179*I179</f>
        <v>1100</v>
      </c>
    </row>
    <row r="180" ht="13.5">
      <c r="J180" s="12"/>
    </row>
    <row r="181" spans="1:10" ht="13.5">
      <c r="A181" s="2">
        <v>31</v>
      </c>
      <c r="B181" s="2" t="s">
        <v>99</v>
      </c>
      <c r="C181" s="2" t="s">
        <v>23</v>
      </c>
      <c r="G181" s="2">
        <v>2</v>
      </c>
      <c r="H181" s="2" t="s">
        <v>81</v>
      </c>
      <c r="I181" s="2">
        <v>300</v>
      </c>
      <c r="J181" s="12">
        <f>G181*I181</f>
        <v>600</v>
      </c>
    </row>
    <row r="182" ht="13.5">
      <c r="J182" s="12"/>
    </row>
    <row r="183" spans="1:10" ht="13.5">
      <c r="A183" s="2">
        <v>32</v>
      </c>
      <c r="B183" s="2" t="s">
        <v>100</v>
      </c>
      <c r="C183" s="2" t="s">
        <v>23</v>
      </c>
      <c r="G183" s="2">
        <v>2</v>
      </c>
      <c r="H183" s="2" t="s">
        <v>81</v>
      </c>
      <c r="I183" s="2">
        <v>450</v>
      </c>
      <c r="J183" s="12">
        <f>G183*I183</f>
        <v>900</v>
      </c>
    </row>
    <row r="185" spans="1:10" ht="13.5">
      <c r="A185" s="2">
        <v>33</v>
      </c>
      <c r="B185" s="2" t="s">
        <v>101</v>
      </c>
      <c r="D185" s="2" t="s">
        <v>102</v>
      </c>
      <c r="J185" s="12">
        <v>5000</v>
      </c>
    </row>
    <row r="187" spans="1:10" ht="13.5">
      <c r="A187" s="2">
        <v>34</v>
      </c>
      <c r="B187" s="2" t="s">
        <v>103</v>
      </c>
      <c r="C187" s="2">
        <v>15</v>
      </c>
      <c r="G187" s="2">
        <v>15</v>
      </c>
      <c r="H187" s="2" t="s">
        <v>104</v>
      </c>
      <c r="I187" s="2">
        <v>650</v>
      </c>
      <c r="J187" s="12">
        <f>G187*I187</f>
        <v>9750</v>
      </c>
    </row>
    <row r="189" spans="1:10" ht="13.5">
      <c r="A189" s="2">
        <v>35</v>
      </c>
      <c r="B189" s="2" t="s">
        <v>105</v>
      </c>
      <c r="D189" s="2" t="str">
        <f>D185</f>
        <v>lumpsum</v>
      </c>
      <c r="J189" s="12">
        <v>10000</v>
      </c>
    </row>
    <row r="191" ht="13.5">
      <c r="B191" s="3" t="s">
        <v>89</v>
      </c>
    </row>
    <row r="192" spans="1:10" ht="13.5">
      <c r="A192" s="2">
        <v>1</v>
      </c>
      <c r="B192" s="2" t="s">
        <v>90</v>
      </c>
      <c r="C192" s="2" t="s">
        <v>91</v>
      </c>
      <c r="D192" s="2">
        <f>1.08+1+2.15</f>
        <v>4.23</v>
      </c>
      <c r="E192" s="2">
        <v>0.23</v>
      </c>
      <c r="F192" s="2">
        <v>0.75</v>
      </c>
      <c r="G192" s="12">
        <f>D192*E192*F192*2*4</f>
        <v>5.837400000000001</v>
      </c>
      <c r="H192" s="2" t="s">
        <v>18</v>
      </c>
      <c r="I192" s="2">
        <v>1650</v>
      </c>
      <c r="J192" s="2">
        <f>G192*I192</f>
        <v>9631.710000000001</v>
      </c>
    </row>
    <row r="194" spans="1:7" ht="13.5">
      <c r="A194" s="2">
        <v>2</v>
      </c>
      <c r="B194" s="2" t="s">
        <v>94</v>
      </c>
      <c r="C194" s="2" t="s">
        <v>14</v>
      </c>
      <c r="D194" s="2">
        <f>15.18-0.46</f>
        <v>14.719999999999999</v>
      </c>
      <c r="E194" s="12">
        <v>5</v>
      </c>
      <c r="F194" s="2">
        <v>0.075</v>
      </c>
      <c r="G194" s="12">
        <f>D194*E194*F194</f>
        <v>5.52</v>
      </c>
    </row>
    <row r="195" spans="2:7" ht="13.5">
      <c r="B195" s="2" t="s">
        <v>44</v>
      </c>
      <c r="C195" s="2" t="s">
        <v>14</v>
      </c>
      <c r="D195" s="12">
        <f>1.8+0.3</f>
        <v>2.1</v>
      </c>
      <c r="E195" s="2">
        <v>3.46</v>
      </c>
      <c r="F195" s="2">
        <v>0.075</v>
      </c>
      <c r="G195" s="12">
        <f>D195*E195*F195*-1</f>
        <v>-0.5449499999999999</v>
      </c>
    </row>
    <row r="196" spans="7:10" ht="13.5">
      <c r="G196" s="13">
        <f>SUM(G194:G195)</f>
        <v>4.9750499999999995</v>
      </c>
      <c r="H196" s="2" t="s">
        <v>18</v>
      </c>
      <c r="I196" s="2">
        <v>1300</v>
      </c>
      <c r="J196" s="2">
        <f>G196*I196</f>
        <v>6467.565</v>
      </c>
    </row>
    <row r="198" spans="1:7" ht="13.5">
      <c r="A198" s="2">
        <v>3</v>
      </c>
      <c r="B198" s="2" t="s">
        <v>92</v>
      </c>
      <c r="C198" s="2" t="s">
        <v>42</v>
      </c>
      <c r="D198" s="2">
        <v>2.96</v>
      </c>
      <c r="E198" s="2">
        <v>0.45</v>
      </c>
      <c r="G198" s="2">
        <f>D198*E198*4</f>
        <v>5.328</v>
      </c>
    </row>
    <row r="199" spans="3:7" ht="13.5">
      <c r="C199" s="2" t="s">
        <v>23</v>
      </c>
      <c r="D199" s="2">
        <v>1.46</v>
      </c>
      <c r="E199" s="2">
        <v>0.45</v>
      </c>
      <c r="G199" s="2">
        <f>D199*E199*2</f>
        <v>1.314</v>
      </c>
    </row>
    <row r="200" spans="7:10" ht="13.5">
      <c r="G200" s="3">
        <f>SUM(G198:G199)</f>
        <v>6.642</v>
      </c>
      <c r="H200" s="2" t="s">
        <v>11</v>
      </c>
      <c r="I200" s="2">
        <v>250</v>
      </c>
      <c r="J200" s="12">
        <f>G200*I200</f>
        <v>1660.5</v>
      </c>
    </row>
    <row r="201" ht="13.5">
      <c r="J201" s="12"/>
    </row>
    <row r="202" spans="1:10" ht="13.5">
      <c r="A202" s="2">
        <v>4</v>
      </c>
      <c r="B202" s="2" t="s">
        <v>93</v>
      </c>
      <c r="C202" s="2" t="s">
        <v>91</v>
      </c>
      <c r="D202" s="2">
        <f>1.08+1+2.15</f>
        <v>4.23</v>
      </c>
      <c r="F202" s="2">
        <v>0.85</v>
      </c>
      <c r="G202" s="12">
        <f>D202*F202*2*4</f>
        <v>28.764000000000003</v>
      </c>
      <c r="H202" s="2" t="s">
        <v>11</v>
      </c>
      <c r="I202" s="2">
        <v>100</v>
      </c>
      <c r="J202" s="12">
        <f>G202*I202</f>
        <v>2876.4</v>
      </c>
    </row>
    <row r="203" ht="13.5">
      <c r="J203" s="12"/>
    </row>
    <row r="204" spans="1:10" ht="13.5">
      <c r="A204" s="2">
        <v>5</v>
      </c>
      <c r="B204" s="2" t="s">
        <v>95</v>
      </c>
      <c r="C204" s="2" t="s">
        <v>14</v>
      </c>
      <c r="D204" s="2">
        <f>15.18-0.46</f>
        <v>14.719999999999999</v>
      </c>
      <c r="F204" s="12">
        <f>5</f>
        <v>5</v>
      </c>
      <c r="G204" s="12">
        <f>D204*F204</f>
        <v>73.6</v>
      </c>
      <c r="J204" s="12"/>
    </row>
    <row r="205" spans="2:10" ht="13.5">
      <c r="B205" s="2" t="s">
        <v>44</v>
      </c>
      <c r="C205" s="2" t="s">
        <v>14</v>
      </c>
      <c r="D205" s="12">
        <f>1.8+0.3</f>
        <v>2.1</v>
      </c>
      <c r="F205" s="2">
        <v>3.46</v>
      </c>
      <c r="G205" s="2">
        <f>D205*F205*-1</f>
        <v>-7.266</v>
      </c>
      <c r="J205" s="12"/>
    </row>
    <row r="206" spans="7:10" ht="13.5">
      <c r="G206" s="3">
        <f>SUM(G204:G205)</f>
        <v>66.33399999999999</v>
      </c>
      <c r="H206" s="2" t="s">
        <v>11</v>
      </c>
      <c r="I206" s="2">
        <v>100</v>
      </c>
      <c r="J206" s="12">
        <f>G206*I206</f>
        <v>6633.399999999999</v>
      </c>
    </row>
    <row r="208" spans="2:10" ht="13.5">
      <c r="B208" s="3" t="s">
        <v>112</v>
      </c>
      <c r="J208" s="3">
        <f>SUM(J6:J207)</f>
        <v>399767.71438000014</v>
      </c>
    </row>
    <row r="210" ht="13.5">
      <c r="B210" s="3" t="s">
        <v>106</v>
      </c>
    </row>
    <row r="211" spans="1:10" ht="13.5">
      <c r="A211" s="2">
        <v>1</v>
      </c>
      <c r="B211" s="2" t="s">
        <v>107</v>
      </c>
      <c r="C211" s="2">
        <v>1</v>
      </c>
      <c r="D211" s="2">
        <f>(1.8+0.23)*2+(0.75*2)</f>
        <v>5.5600000000000005</v>
      </c>
      <c r="E211" s="2">
        <v>0.3</v>
      </c>
      <c r="F211" s="2">
        <v>0.3</v>
      </c>
      <c r="G211" s="12">
        <f>C211*D211*E211*F211</f>
        <v>0.5004000000000001</v>
      </c>
      <c r="H211" s="2" t="s">
        <v>18</v>
      </c>
      <c r="I211" s="2">
        <v>65</v>
      </c>
      <c r="J211" s="2">
        <f>I211*G211</f>
        <v>32.526</v>
      </c>
    </row>
    <row r="212" spans="1:10" ht="13.5">
      <c r="A212" s="2">
        <v>2</v>
      </c>
      <c r="B212" s="2" t="s">
        <v>19</v>
      </c>
      <c r="C212" s="2">
        <v>1</v>
      </c>
      <c r="D212" s="2">
        <f>(1.8+0.23)*2+(0.75*2)</f>
        <v>5.5600000000000005</v>
      </c>
      <c r="E212" s="2">
        <v>0.3</v>
      </c>
      <c r="F212" s="2">
        <v>0.1</v>
      </c>
      <c r="G212" s="12">
        <f>C212*D212*E212*F212</f>
        <v>0.16680000000000003</v>
      </c>
      <c r="H212" s="2" t="s">
        <v>18</v>
      </c>
      <c r="I212" s="2">
        <v>300</v>
      </c>
      <c r="J212" s="2">
        <f aca="true" t="shared" si="1" ref="J212:J217">I212*G212</f>
        <v>50.040000000000006</v>
      </c>
    </row>
    <row r="213" spans="1:10" ht="13.5">
      <c r="A213" s="2">
        <v>3</v>
      </c>
      <c r="B213" s="2" t="s">
        <v>108</v>
      </c>
      <c r="C213" s="2">
        <v>1</v>
      </c>
      <c r="D213" s="2">
        <f>(1.8+0.23)*2+(0.75*2)</f>
        <v>5.5600000000000005</v>
      </c>
      <c r="E213" s="2">
        <v>0.3</v>
      </c>
      <c r="F213" s="2">
        <v>0.1</v>
      </c>
      <c r="G213" s="12">
        <f>C213*D213*E213*F213</f>
        <v>0.16680000000000003</v>
      </c>
      <c r="H213" s="2" t="s">
        <v>18</v>
      </c>
      <c r="I213" s="2">
        <v>1700</v>
      </c>
      <c r="J213" s="2">
        <f t="shared" si="1"/>
        <v>283.56000000000006</v>
      </c>
    </row>
    <row r="214" spans="1:10" ht="13.5">
      <c r="A214" s="2">
        <v>4</v>
      </c>
      <c r="B214" s="2" t="s">
        <v>109</v>
      </c>
      <c r="C214" s="2">
        <v>1</v>
      </c>
      <c r="D214" s="2">
        <f>D213</f>
        <v>5.5600000000000005</v>
      </c>
      <c r="E214" s="2">
        <v>0.23</v>
      </c>
      <c r="F214" s="2">
        <v>0.75</v>
      </c>
      <c r="G214" s="12">
        <f>C214*D214*E214*F214</f>
        <v>0.9591000000000001</v>
      </c>
      <c r="H214" s="2" t="s">
        <v>18</v>
      </c>
      <c r="I214" s="2">
        <v>1650</v>
      </c>
      <c r="J214" s="17">
        <f t="shared" si="1"/>
        <v>1582.515</v>
      </c>
    </row>
    <row r="215" spans="1:7" ht="13.5">
      <c r="A215" s="2">
        <v>5</v>
      </c>
      <c r="B215" s="2" t="s">
        <v>110</v>
      </c>
      <c r="C215" s="2">
        <v>1</v>
      </c>
      <c r="D215" s="2">
        <v>1.8</v>
      </c>
      <c r="E215" s="2">
        <v>0.75</v>
      </c>
      <c r="G215" s="2">
        <f>C215*D215*E215</f>
        <v>1.35</v>
      </c>
    </row>
    <row r="216" spans="3:7" ht="13.5">
      <c r="C216" s="2">
        <v>1</v>
      </c>
      <c r="D216" s="2">
        <f>D214</f>
        <v>5.5600000000000005</v>
      </c>
      <c r="E216" s="2">
        <v>0.5</v>
      </c>
      <c r="G216" s="2">
        <f>C216*D216*E216</f>
        <v>2.7800000000000002</v>
      </c>
    </row>
    <row r="217" spans="7:10" ht="13.5">
      <c r="G217" s="3">
        <f>SUM(G215:G216)</f>
        <v>4.130000000000001</v>
      </c>
      <c r="H217" s="2" t="s">
        <v>11</v>
      </c>
      <c r="I217" s="2">
        <v>150</v>
      </c>
      <c r="J217" s="2">
        <f t="shared" si="1"/>
        <v>619.5000000000001</v>
      </c>
    </row>
    <row r="218" ht="13.5">
      <c r="J218" s="13">
        <f>SUM(J211:J217)</f>
        <v>2568.141</v>
      </c>
    </row>
    <row r="219" ht="13.5">
      <c r="J219" s="13"/>
    </row>
    <row r="220" spans="2:10" ht="13.5">
      <c r="B220" s="3" t="s">
        <v>113</v>
      </c>
      <c r="J220" s="18">
        <f>J208+J218</f>
        <v>402335.85538000014</v>
      </c>
    </row>
  </sheetData>
  <printOptions gridLines="1"/>
  <pageMargins left="0.75" right="0.75" top="0.61" bottom="0.53" header="0.25" footer="0.38"/>
  <pageSetup orientation="landscape" r:id="rId1"/>
  <headerFooter alignWithMargins="0">
    <oddFooter>&amp;CPage No:&amp;P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System3</dc:creator>
  <cp:keywords/>
  <dc:description/>
  <cp:lastModifiedBy>System3</cp:lastModifiedBy>
  <cp:lastPrinted>2004-08-12T12:40:06Z</cp:lastPrinted>
  <dcterms:created xsi:type="dcterms:W3CDTF">2004-07-19T05:16:14Z</dcterms:created>
  <dcterms:modified xsi:type="dcterms:W3CDTF">2004-08-12T12:42:09Z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-2005322923</vt:i4>
  </property>
  <property fmtid="{D5CDD505-2E9C-101B-9397-08002B2CF9AE}" pid="4" name="_EmailSubje">
    <vt:lpwstr>Auroville Project Review - July 6, 8pm</vt:lpwstr>
  </property>
  <property fmtid="{D5CDD505-2E9C-101B-9397-08002B2CF9AE}" pid="5" name="_AuthorEma">
    <vt:lpwstr>MongaP@DNB.com</vt:lpwstr>
  </property>
  <property fmtid="{D5CDD505-2E9C-101B-9397-08002B2CF9AE}" pid="6" name="_AuthorEmailDisplayNa">
    <vt:lpwstr>Monga, Pavinder</vt:lpwstr>
  </property>
</Properties>
</file>