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Balance Sheet" sheetId="1" r:id="rId1"/>
    <sheet name="Income &amp; Expenditure" sheetId="2" r:id="rId2"/>
    <sheet name="Schedule" sheetId="3" r:id="rId3"/>
    <sheet name="Annexure " sheetId="4" r:id="rId4"/>
    <sheet name="Fixed Assets" sheetId="5" r:id="rId5"/>
    <sheet name="Investment" sheetId="6" r:id="rId6"/>
  </sheets>
  <definedNames>
    <definedName name="_xlnm.Print_Area" localSheetId="3">'Annexure '!$A$1:$G$874</definedName>
    <definedName name="_xlnm.Print_Area" localSheetId="0">'Balance Sheet'!$A$1:$G$63</definedName>
    <definedName name="_xlnm.Print_Area" localSheetId="1">'Income &amp; Expenditure'!$A$1:$I$52</definedName>
    <definedName name="_xlnm.Print_Area" localSheetId="2">'Schedule'!$A$1:$G$248</definedName>
  </definedNames>
  <calcPr fullCalcOnLoad="1"/>
</workbook>
</file>

<file path=xl/comments4.xml><?xml version="1.0" encoding="utf-8"?>
<comments xmlns="http://schemas.openxmlformats.org/spreadsheetml/2006/main">
  <authors>
    <author>Subir</author>
  </authors>
  <commentList>
    <comment ref="B806" authorId="0">
      <text>
        <r>
          <rPr>
            <b/>
            <sz val="8"/>
            <rFont val="Tahoma"/>
            <family val="2"/>
          </rPr>
          <t>Including Monthly Internet Charge</t>
        </r>
      </text>
    </comment>
    <comment ref="B588" authorId="0">
      <text>
        <r>
          <rPr>
            <b/>
            <sz val="8"/>
            <rFont val="Tahoma"/>
            <family val="2"/>
          </rPr>
          <t>including Telephone charge</t>
        </r>
      </text>
    </comment>
    <comment ref="B573" authorId="0">
      <text>
        <r>
          <rPr>
            <b/>
            <sz val="8"/>
            <rFont val="Tahoma"/>
            <family val="2"/>
          </rPr>
          <t>including Utensils</t>
        </r>
      </text>
    </comment>
  </commentList>
</comments>
</file>

<file path=xl/sharedStrings.xml><?xml version="1.0" encoding="utf-8"?>
<sst xmlns="http://schemas.openxmlformats.org/spreadsheetml/2006/main" count="1263" uniqueCount="896">
  <si>
    <t>SCHEDULE</t>
  </si>
  <si>
    <t>Amount (Rs.)</t>
  </si>
  <si>
    <t>SCHEDULE OF FUNDS</t>
  </si>
  <si>
    <t>2. LOAN LIABILITIES</t>
  </si>
  <si>
    <t>A) Secured Loan</t>
  </si>
  <si>
    <t>APPLICATION OF FUNDS</t>
  </si>
  <si>
    <t>1) FIXED ASSETS</t>
  </si>
  <si>
    <t>2. CURRENT ASSETS , LOANS AND ADVANCES</t>
  </si>
  <si>
    <t>A) Inventories</t>
  </si>
  <si>
    <t>B) Sundry Debtors</t>
  </si>
  <si>
    <t>C) Cash &amp; Bank Balances</t>
  </si>
  <si>
    <t>E) Loans &amp; Advances</t>
  </si>
  <si>
    <t>F) Other Current Assets</t>
  </si>
  <si>
    <t>LESS CURRENT LIABILITIES &amp; PROVISIONS</t>
  </si>
  <si>
    <t xml:space="preserve">A) Liabilities      </t>
  </si>
  <si>
    <t>NET CURRENT ASSETS</t>
  </si>
  <si>
    <t xml:space="preserve">Note:The schedules refered to above from an </t>
  </si>
  <si>
    <t xml:space="preserve">      As per our annexed report of even date</t>
  </si>
  <si>
    <t xml:space="preserve">     integral part of the Profit &amp; Loss Account.</t>
  </si>
  <si>
    <t xml:space="preserve">              Chartered Accountant</t>
  </si>
  <si>
    <t>Amount(Rs.)</t>
  </si>
  <si>
    <t xml:space="preserve">As per last account </t>
  </si>
  <si>
    <t>As per last account</t>
  </si>
  <si>
    <t>Cash and Bank Balances</t>
  </si>
  <si>
    <t>Cash In Hand</t>
  </si>
  <si>
    <t>Other Current Assets</t>
  </si>
  <si>
    <t>Tax Deducted at Source</t>
  </si>
  <si>
    <t>Vat Receivable</t>
  </si>
  <si>
    <t>A. Current Liabilities</t>
  </si>
  <si>
    <t>Printing &amp; Stationery</t>
  </si>
  <si>
    <t>Travelling &amp; Conveyance</t>
  </si>
  <si>
    <t>417, HOSSENPUR , KMC WARD NO- 108, KOLKATA 700107</t>
  </si>
  <si>
    <t>31.3.2009</t>
  </si>
  <si>
    <t>To Expenditure</t>
  </si>
  <si>
    <t>By Income</t>
  </si>
  <si>
    <t>a)</t>
  </si>
  <si>
    <t>Project Income</t>
  </si>
  <si>
    <t>b)</t>
  </si>
  <si>
    <t>Sponsorship Income</t>
  </si>
  <si>
    <t>c)</t>
  </si>
  <si>
    <t>Project Expenditure</t>
  </si>
  <si>
    <t>Sponsorship Expenditure</t>
  </si>
  <si>
    <t>Society Expenditure</t>
  </si>
  <si>
    <t>d)</t>
  </si>
  <si>
    <t xml:space="preserve"> Depreciation</t>
  </si>
  <si>
    <t>To Net Surplus transferred to Capital Fund</t>
  </si>
  <si>
    <t>2. SPONSORSHIP FUND</t>
  </si>
  <si>
    <t>1. CAPITAL FUND</t>
  </si>
  <si>
    <t xml:space="preserve"> FIXED ASSETS</t>
  </si>
  <si>
    <t>Gross Block</t>
  </si>
  <si>
    <t>Less Depreciation</t>
  </si>
  <si>
    <t>Net Block</t>
  </si>
  <si>
    <t>Cash at Bank</t>
  </si>
  <si>
    <t>INVENTRIES</t>
  </si>
  <si>
    <t>Sales (Net)</t>
  </si>
  <si>
    <t>MATERIALS CONSUMED</t>
  </si>
  <si>
    <t>a) RAW MATERIALS</t>
  </si>
  <si>
    <t>b) FINISHED GOODS</t>
  </si>
  <si>
    <t xml:space="preserve">Opening Stock </t>
  </si>
  <si>
    <t xml:space="preserve">Add Purchase </t>
  </si>
  <si>
    <t xml:space="preserve">Less Closing Stock </t>
  </si>
  <si>
    <t>EXPENDITURE OF CARD PROJECT</t>
  </si>
  <si>
    <t>PROJECT INCOME</t>
  </si>
  <si>
    <t>SPONSORSHIP INCOME</t>
  </si>
  <si>
    <t>PROJECT EXPENDITURE</t>
  </si>
  <si>
    <t>SPONSORSHIP EXPENDITURE</t>
  </si>
  <si>
    <t>SOCIETY EXPENDITURE</t>
  </si>
  <si>
    <t>Marketing &amp; Development Expenses</t>
  </si>
  <si>
    <t>Miscellaneous Expenses</t>
  </si>
  <si>
    <t>Postage and Courier Charges</t>
  </si>
  <si>
    <t>Production Expenses</t>
  </si>
  <si>
    <t>Repairs &amp; Maintanance</t>
  </si>
  <si>
    <t>Salary</t>
  </si>
  <si>
    <t>Stipend</t>
  </si>
  <si>
    <t>Training Expenses</t>
  </si>
  <si>
    <t>Training Materials</t>
  </si>
  <si>
    <t>Total</t>
  </si>
  <si>
    <t>Asha ABC Chapter</t>
  </si>
  <si>
    <t>Asha LA Chapter</t>
  </si>
  <si>
    <t>Community Based Education Project</t>
  </si>
  <si>
    <t>Concern India Foundation</t>
  </si>
  <si>
    <t>Goal Project</t>
  </si>
  <si>
    <t>Peoples Bridge Charitable Foundation</t>
  </si>
  <si>
    <t>Asha SV Chapter</t>
  </si>
  <si>
    <t>Others</t>
  </si>
  <si>
    <t>Calcutta De La Rue a Le Cole</t>
  </si>
  <si>
    <t>Annexure - 2</t>
  </si>
  <si>
    <t>SUNDRY DEBTORS-</t>
  </si>
  <si>
    <t>UNSECURED-CONSIDERED GOODS</t>
  </si>
  <si>
    <t>Annexure - 3</t>
  </si>
  <si>
    <t>Loans and Advances</t>
  </si>
  <si>
    <t>(Unsecured-Considered good)</t>
  </si>
  <si>
    <t xml:space="preserve">(Recoverable In Cash or in kind or </t>
  </si>
  <si>
    <t>value to be  received)</t>
  </si>
  <si>
    <t>Annexure-1</t>
  </si>
  <si>
    <t>TOTAL</t>
  </si>
  <si>
    <t>FIXED ASSETS - CARD PROJECT</t>
  </si>
  <si>
    <t>Annexure - 5</t>
  </si>
  <si>
    <t>Annexure - 6</t>
  </si>
  <si>
    <t>Annexure - 7</t>
  </si>
  <si>
    <t>Annexure - 8</t>
  </si>
  <si>
    <t>Annexure - 9</t>
  </si>
  <si>
    <t>2008-09</t>
  </si>
  <si>
    <t>TOTAL INCOME</t>
  </si>
  <si>
    <t>TOTAL EXPENDITURE.</t>
  </si>
  <si>
    <t>Society Income - Donation</t>
  </si>
  <si>
    <t xml:space="preserve">                        - Others</t>
  </si>
  <si>
    <t>Interest on FD - QID</t>
  </si>
  <si>
    <t>Membership fees</t>
  </si>
  <si>
    <t>Training fees</t>
  </si>
  <si>
    <t>Annexure forminng part of the schedule</t>
  </si>
  <si>
    <t>Annexure - 1</t>
  </si>
  <si>
    <t>Teacher's Salary</t>
  </si>
  <si>
    <t>Electric Charges</t>
  </si>
  <si>
    <t>Fooding</t>
  </si>
  <si>
    <t>Rent</t>
  </si>
  <si>
    <t>Teachers Salary</t>
  </si>
  <si>
    <t>Salary Other Staff</t>
  </si>
  <si>
    <t>Uniform and Dresses</t>
  </si>
  <si>
    <t>Food for Children</t>
  </si>
  <si>
    <t>Rent for Coaching Centre</t>
  </si>
  <si>
    <t>Salary Project Associates</t>
  </si>
  <si>
    <t>Salary Project Co-ordinator</t>
  </si>
  <si>
    <t>Educational Materials</t>
  </si>
  <si>
    <t>31.03.2009</t>
  </si>
  <si>
    <t>Evening tiffin</t>
  </si>
  <si>
    <t>Food for parents meeting</t>
  </si>
  <si>
    <t>Teachers meet/Training</t>
  </si>
  <si>
    <t>Administration</t>
  </si>
  <si>
    <t>Rent for Field office- Goal 2007</t>
  </si>
  <si>
    <t>Rent for Field office- Goal 2008</t>
  </si>
  <si>
    <t>Telephone charges- Goal 2007</t>
  </si>
  <si>
    <t>Telephone charges- Goal 2008</t>
  </si>
  <si>
    <t>Xerox charges - Goal 2008</t>
  </si>
  <si>
    <t>Monitoring</t>
  </si>
  <si>
    <t>Audit fees - Goal VT project</t>
  </si>
  <si>
    <t>Visibility - VT project</t>
  </si>
  <si>
    <t>Personal cost</t>
  </si>
  <si>
    <t>Program cost</t>
  </si>
  <si>
    <t>Education releted cost</t>
  </si>
  <si>
    <t>Education releted training / workshop</t>
  </si>
  <si>
    <t>Extra curricular activities during training</t>
  </si>
  <si>
    <t>Kits of trainees</t>
  </si>
  <si>
    <t>Meetings, camps &amp; conferences</t>
  </si>
  <si>
    <t>Salary- Project staff</t>
  </si>
  <si>
    <t>Salary- Vocational trainer-2007</t>
  </si>
  <si>
    <t>Salary- Vocational trainer-2008</t>
  </si>
  <si>
    <t>Trade based exposure visit</t>
  </si>
  <si>
    <t>Trade wise capacity building for staff</t>
  </si>
  <si>
    <t>Training materials ( 4th project )</t>
  </si>
  <si>
    <t>Training materials for Tailoring Group</t>
  </si>
  <si>
    <t>Training stipend - Goal 2007</t>
  </si>
  <si>
    <t>Training stipend - Goal 2008</t>
  </si>
  <si>
    <t>Travel for field staff</t>
  </si>
  <si>
    <t>Workshop / Orientation programme</t>
  </si>
  <si>
    <t>Repair &amp; Maintenance</t>
  </si>
  <si>
    <t>Annexure - 10</t>
  </si>
  <si>
    <t>Books</t>
  </si>
  <si>
    <t>Education Materials</t>
  </si>
  <si>
    <t>Examination Fees</t>
  </si>
  <si>
    <t>Annual School  Fees</t>
  </si>
  <si>
    <t>Hostel Fees</t>
  </si>
  <si>
    <t>Remidial Coaching</t>
  </si>
  <si>
    <t>Annexure - 11</t>
  </si>
  <si>
    <t>Admission Fees</t>
  </si>
  <si>
    <t>Books &amp; Study materials</t>
  </si>
  <si>
    <t>Postage &amp; Courier</t>
  </si>
  <si>
    <t>Sponsorship Expenses</t>
  </si>
  <si>
    <t>Tea &amp; Snacks</t>
  </si>
  <si>
    <t>Tution Fees</t>
  </si>
  <si>
    <t>Audit Fees</t>
  </si>
  <si>
    <t>Computer Stationery</t>
  </si>
  <si>
    <t>Consultancy Fees</t>
  </si>
  <si>
    <t>Courier Charges</t>
  </si>
  <si>
    <t>Medical expenses</t>
  </si>
  <si>
    <t>Medicine</t>
  </si>
  <si>
    <t>Miscellaneous expenses</t>
  </si>
  <si>
    <t>Property Insurance</t>
  </si>
  <si>
    <t>Property Tax</t>
  </si>
  <si>
    <t>School Fees</t>
  </si>
  <si>
    <t>Toiletories</t>
  </si>
  <si>
    <t>Annexure -2</t>
  </si>
  <si>
    <t>SUNDRY DEBTORS</t>
  </si>
  <si>
    <t>Annexure -3</t>
  </si>
  <si>
    <t>Annexure -4</t>
  </si>
  <si>
    <t>LOANS AND ADVANCES</t>
  </si>
  <si>
    <t>Annexure -5</t>
  </si>
  <si>
    <t>a) Sundry Creditors for Goods</t>
  </si>
  <si>
    <t>b) Sundry Crediture for Expenses</t>
  </si>
  <si>
    <t>Fixed Deposit</t>
  </si>
  <si>
    <t>SOURCES OF FUNDS</t>
  </si>
  <si>
    <t>CASH IN HAND</t>
  </si>
  <si>
    <t>CASH AT BANK</t>
  </si>
  <si>
    <t>FIXED DEPOSIT</t>
  </si>
  <si>
    <t>Annexure -11</t>
  </si>
  <si>
    <t>Annexure - 12</t>
  </si>
  <si>
    <t>Annexure - 13</t>
  </si>
  <si>
    <t>Annexure  13</t>
  </si>
  <si>
    <t>Annexure  14</t>
  </si>
  <si>
    <t>Annexure- 10</t>
  </si>
  <si>
    <t>Annexure -12</t>
  </si>
  <si>
    <t>Annexure - 14</t>
  </si>
  <si>
    <t>Raw materials</t>
  </si>
  <si>
    <t>Finished goods</t>
  </si>
  <si>
    <t>Calcutta De La Rue A La Cole</t>
  </si>
  <si>
    <t>Horizon</t>
  </si>
  <si>
    <t>Rajkumar</t>
  </si>
  <si>
    <t>Rasa</t>
  </si>
  <si>
    <t>R.B Enterprises International Pvt Ltd</t>
  </si>
  <si>
    <t>Sasha</t>
  </si>
  <si>
    <t>Vision International</t>
  </si>
  <si>
    <t>Laxmi Apartment Resident's association</t>
  </si>
  <si>
    <t>Cash -CBEP</t>
  </si>
  <si>
    <t>Cash- Eve School</t>
  </si>
  <si>
    <t>Cash - Field Office</t>
  </si>
  <si>
    <t>Cash- Half Way Home</t>
  </si>
  <si>
    <t>Cash- Medical Cell</t>
  </si>
  <si>
    <t>Cash- Open school</t>
  </si>
  <si>
    <t>Cash- Sponsorship</t>
  </si>
  <si>
    <t>Cash- Stiching unit</t>
  </si>
  <si>
    <t>Cash - Designated Bank</t>
  </si>
  <si>
    <t>Cash - Local</t>
  </si>
  <si>
    <t>Cash - Admin</t>
  </si>
  <si>
    <t>Cash - CIF</t>
  </si>
  <si>
    <t>Main Cash Admin</t>
  </si>
  <si>
    <t>Cash- Formal school</t>
  </si>
  <si>
    <t>Cash- Mac Project</t>
  </si>
  <si>
    <t>Cash - People Bridge Foundation</t>
  </si>
  <si>
    <t>Emergency - Cash</t>
  </si>
  <si>
    <t>Cash - Card Project</t>
  </si>
  <si>
    <t xml:space="preserve"> Main Cash - Project</t>
  </si>
  <si>
    <t>Bank- Designated</t>
  </si>
  <si>
    <t xml:space="preserve">Bank A/C- 994(CBEP) </t>
  </si>
  <si>
    <t>Bank A/C- 994(Asha SV Chapter )</t>
  </si>
  <si>
    <t xml:space="preserve">Bank A/C- 994(Card Project) </t>
  </si>
  <si>
    <t>Bank A/C- 994(TF)</t>
  </si>
  <si>
    <t>Bank A/C- 994(Erin Glynn)</t>
  </si>
  <si>
    <t>Bank A/C- 994(People Bridge Foundation )</t>
  </si>
  <si>
    <t>Bank A/C- 994(Asha La Chapter)</t>
  </si>
  <si>
    <t>Bank A/C- 994(A.Neogi)</t>
  </si>
  <si>
    <t>Bank A/C- 994(Chandraballi Bhattacharya)</t>
  </si>
  <si>
    <t>Bank - Local</t>
  </si>
  <si>
    <t>Bank -ICICI</t>
  </si>
  <si>
    <t xml:space="preserve">Bank-ICICI (Jagadish Ch. Ghosh) </t>
  </si>
  <si>
    <t>Bank-ICICI ( uttaran )</t>
  </si>
  <si>
    <t>Bank- ICICI( CIF)</t>
  </si>
  <si>
    <t>Bank - Axis</t>
  </si>
  <si>
    <t>Bank -821 ( Card Project)</t>
  </si>
  <si>
    <t>Bank- community Contribution(SB)</t>
  </si>
  <si>
    <t>Accured Interest On FD-QID</t>
  </si>
  <si>
    <t>Fixed Deposit -BOM (SP)</t>
  </si>
  <si>
    <t>LOANS</t>
  </si>
  <si>
    <t>Alokesh Sengupta</t>
  </si>
  <si>
    <t>Imran</t>
  </si>
  <si>
    <t>Subrata Maity</t>
  </si>
  <si>
    <t>Ashis Roy</t>
  </si>
  <si>
    <t>Ganesh Das</t>
  </si>
  <si>
    <t>Subhankar Dutta</t>
  </si>
  <si>
    <t>ADVANCES</t>
  </si>
  <si>
    <t>Computer Training School</t>
  </si>
  <si>
    <t>Arup Banerjee</t>
  </si>
  <si>
    <t>Revenue Stamp</t>
  </si>
  <si>
    <t>Less: Sale/ transfer</t>
  </si>
  <si>
    <t xml:space="preserve">A1 Infotech </t>
  </si>
  <si>
    <t>Ghosh Automobiles</t>
  </si>
  <si>
    <t xml:space="preserve">Dilip Das </t>
  </si>
  <si>
    <t>Express Air Pvt Ltd</t>
  </si>
  <si>
    <t>Moumita Enterprise</t>
  </si>
  <si>
    <t>Duities &amp; Taxes ( Vat)</t>
  </si>
  <si>
    <t>Liabilities for Annual Maintenance Service</t>
  </si>
  <si>
    <t>Liabilities for Audit fees</t>
  </si>
  <si>
    <t>Liabilities for Car Running</t>
  </si>
  <si>
    <t>Liabilities for Consultancy fees</t>
  </si>
  <si>
    <t>Liabilities for Electric Charges</t>
  </si>
  <si>
    <t xml:space="preserve">Liabilities for Security Service charges </t>
  </si>
  <si>
    <t>Liabilities for Telephone</t>
  </si>
  <si>
    <t>TDS Payble</t>
  </si>
  <si>
    <t>Liabilities for Orientation / Workshop- Uttaran</t>
  </si>
  <si>
    <t>Liabilities to staff ( P. Tax)</t>
  </si>
  <si>
    <t>Professional Tax (EC) for ASG</t>
  </si>
  <si>
    <t>Professional Tax (RC) for Employees</t>
  </si>
  <si>
    <t>Delivery charges</t>
  </si>
  <si>
    <t>Maintenance - Card Project</t>
  </si>
  <si>
    <t>Medicine - TFCP</t>
  </si>
  <si>
    <t>Sales promotional expenses</t>
  </si>
  <si>
    <t>Stiching</t>
  </si>
  <si>
    <t>Tea &amp; snacks</t>
  </si>
  <si>
    <t>Tata Communication</t>
  </si>
  <si>
    <t>Other Income( Adju of assets)</t>
  </si>
  <si>
    <t>Miscellaneous receipts</t>
  </si>
  <si>
    <t>Income from Community centre</t>
  </si>
  <si>
    <t>Foreign exchange gain</t>
  </si>
  <si>
    <t>Admission fees</t>
  </si>
  <si>
    <t>Festival allowance</t>
  </si>
  <si>
    <t>Fooding- CBEP</t>
  </si>
  <si>
    <t>Fooding &amp; Lodging-CBEP</t>
  </si>
  <si>
    <t>Honorarium- Teachers</t>
  </si>
  <si>
    <t>MAC</t>
  </si>
  <si>
    <t>Annexure - 15</t>
  </si>
  <si>
    <t>Rent for Mac building</t>
  </si>
  <si>
    <t>Salary other Staff- Mac</t>
  </si>
  <si>
    <t>Awarness camp</t>
  </si>
  <si>
    <t>Clinic Equipments &amp; Furniture</t>
  </si>
  <si>
    <t>Developing Awarness Materials</t>
  </si>
  <si>
    <t>Honorarium to Doctor</t>
  </si>
  <si>
    <t>Meeting Cost</t>
  </si>
  <si>
    <t>Salary- Doctor</t>
  </si>
  <si>
    <t>Annexure - 16</t>
  </si>
  <si>
    <t>Tata communication Ltd</t>
  </si>
  <si>
    <t>Electricity Charges</t>
  </si>
  <si>
    <t>Stationery Items</t>
  </si>
  <si>
    <t>Capacity Building</t>
  </si>
  <si>
    <t>Fooding &amp; Lodging</t>
  </si>
  <si>
    <t>Travelling- Workshop Program</t>
  </si>
  <si>
    <t>Workshop Materials-2008</t>
  </si>
  <si>
    <t>Documentation -Goal</t>
  </si>
  <si>
    <t>Travel For Monitoring</t>
  </si>
  <si>
    <t>Travel- Goal</t>
  </si>
  <si>
    <t>Resource Person</t>
  </si>
  <si>
    <t>Salary Accountant -Goal-2008</t>
  </si>
  <si>
    <t>Salary- Documentation assistant</t>
  </si>
  <si>
    <t>Salary Office Assistant-Goal-2008</t>
  </si>
  <si>
    <t>Salary Proramme Officer- Goal-2008</t>
  </si>
  <si>
    <t>Salary Project Co-ordinator- Goal -2008</t>
  </si>
  <si>
    <t>Salary - support Teacher -Goal-2008</t>
  </si>
  <si>
    <t>Salary Project Counselor -Goal -2008</t>
  </si>
  <si>
    <t>Training fees for Talloring Group</t>
  </si>
  <si>
    <t>Bedding</t>
  </si>
  <si>
    <t>Center fees</t>
  </si>
  <si>
    <t>College fees</t>
  </si>
  <si>
    <t>Drawing fees</t>
  </si>
  <si>
    <t>Educational support</t>
  </si>
  <si>
    <t>Educational Tour</t>
  </si>
  <si>
    <t>Family Support</t>
  </si>
  <si>
    <t>Educational Support</t>
  </si>
  <si>
    <t>Educational tour</t>
  </si>
  <si>
    <t>Tution fees</t>
  </si>
  <si>
    <t>Tiffin fees</t>
  </si>
  <si>
    <t>Study materials</t>
  </si>
  <si>
    <t>Uniform &amp; Dresses</t>
  </si>
  <si>
    <t>Laboratory fees</t>
  </si>
  <si>
    <t>School fees</t>
  </si>
  <si>
    <t>Stationery items</t>
  </si>
  <si>
    <t>Work education fees</t>
  </si>
  <si>
    <t>Expenses for Annual Report Publication</t>
  </si>
  <si>
    <t>Books &amp; Periodicals</t>
  </si>
  <si>
    <t>Festival Allowance</t>
  </si>
  <si>
    <t>Visibility</t>
  </si>
  <si>
    <t>Uttaran</t>
  </si>
  <si>
    <t>Less: Transfer from I &amp; E. Accounts</t>
  </si>
  <si>
    <t>Donation Receivable</t>
  </si>
  <si>
    <t>Liabilities for Stipend</t>
  </si>
  <si>
    <t>Liabilities for Fooding</t>
  </si>
  <si>
    <t>Printing Of Project Report ( Goal)</t>
  </si>
  <si>
    <t>Purchase Tax</t>
  </si>
  <si>
    <t>Less: Foreign exchange loss</t>
  </si>
  <si>
    <t>Temporary Loan given by Projects</t>
  </si>
  <si>
    <t>Annexure - 17</t>
  </si>
  <si>
    <t>Annexure -17</t>
  </si>
  <si>
    <t>Advance from PBCF</t>
  </si>
  <si>
    <t>Advance from Uttaran</t>
  </si>
  <si>
    <t>Temporary Loan Taken from Different Projects</t>
  </si>
  <si>
    <t>Annexure -18</t>
  </si>
  <si>
    <t>Loan from Asha La Chapter</t>
  </si>
  <si>
    <t>Loan from CBEP</t>
  </si>
  <si>
    <t>Loan from Computer Project</t>
  </si>
  <si>
    <t>Loan from PBCF</t>
  </si>
  <si>
    <t>Loan from Sponsorship Cell</t>
  </si>
  <si>
    <t>Loan from Uttaran</t>
  </si>
  <si>
    <t>Less: Prior period income(Donation) Written Back</t>
  </si>
  <si>
    <t>Donar's Grant receivable - Asha ABC Chapter</t>
  </si>
  <si>
    <t>Annexure -19</t>
  </si>
  <si>
    <t>Sitaram Jindal Foundation</t>
  </si>
  <si>
    <t>Girija Kr. Prahlad Roy Goenka</t>
  </si>
  <si>
    <t>Planete Coeur</t>
  </si>
  <si>
    <t xml:space="preserve">     integral part of the Balance Sheet.</t>
  </si>
  <si>
    <t>Annexure - 20</t>
  </si>
  <si>
    <t>Temporary Loans Give to TF</t>
  </si>
  <si>
    <t>Annexure -20</t>
  </si>
  <si>
    <t>Annexure -21</t>
  </si>
  <si>
    <t>Annexure - 21</t>
  </si>
  <si>
    <t>List of Provision for Bad Debts</t>
  </si>
  <si>
    <t>Sourav Mukherjee</t>
  </si>
  <si>
    <t xml:space="preserve">U com Technologies </t>
  </si>
  <si>
    <t>*</t>
  </si>
  <si>
    <t>Remuneration to Jaydeb Guha</t>
  </si>
  <si>
    <t>Incentive card project  -  worker</t>
  </si>
  <si>
    <t>Loan from TFCP</t>
  </si>
  <si>
    <t>R.B.enterprises International Pvt Ltd</t>
  </si>
  <si>
    <t>Car Care centre</t>
  </si>
  <si>
    <t>Liabilities for Salary-Uttaran</t>
  </si>
  <si>
    <t>Interest on FD - MID</t>
  </si>
  <si>
    <t>Interest received - SB deposit</t>
  </si>
  <si>
    <t>Cooking Gas</t>
  </si>
  <si>
    <t xml:space="preserve">Loan from CIF </t>
  </si>
  <si>
    <t>Loan from CIF</t>
  </si>
  <si>
    <t>Temporary Loan given to Asha ABC Chapter</t>
  </si>
  <si>
    <t>Add: Introduction During the year</t>
  </si>
  <si>
    <t xml:space="preserve">Less :Loss on Pre - Matured Withdrawn of Fixed Deposit </t>
  </si>
  <si>
    <t>for further Investment at higher rate</t>
  </si>
  <si>
    <t>Advance Project expenses received for the year (09-10)</t>
  </si>
  <si>
    <t>Annexure - 18</t>
  </si>
  <si>
    <t>c) Temporary Loan taken fromDifferent Projects</t>
  </si>
  <si>
    <t>d) Temporary Loan taken by Asha ABC Chapter</t>
  </si>
  <si>
    <t>e) Advance Project expenses received for the yr. (09-10)</t>
  </si>
  <si>
    <t>INCOME AND EXPENDITURE ACCOUNT FOR THE YEAR ENDED 31.03.2010</t>
  </si>
  <si>
    <t>31.3.2010</t>
  </si>
  <si>
    <t>2009-10</t>
  </si>
  <si>
    <t>Bank OD Balance</t>
  </si>
  <si>
    <t>Vehicle Loan from BOM</t>
  </si>
  <si>
    <t>Bank A/C- 994(Sponsorship)</t>
  </si>
  <si>
    <t>Bank A/C- 994(Disability Project )</t>
  </si>
  <si>
    <t>Bank A/C- 994(Asha AB Chapter )</t>
  </si>
  <si>
    <t xml:space="preserve">Bank-SBI - Dantewada </t>
  </si>
  <si>
    <t>Bank- ICICI ( Disability )</t>
  </si>
  <si>
    <t>Bank-ICICI ( Tata Communication )</t>
  </si>
  <si>
    <t>Cash - Computer School</t>
  </si>
  <si>
    <t>Cash- Model School</t>
  </si>
  <si>
    <t>Cash- Uttaran</t>
  </si>
  <si>
    <t>Stamp Paper</t>
  </si>
  <si>
    <t>Mediclaim for Staff</t>
  </si>
  <si>
    <t>Advance GSP Certification Charge</t>
  </si>
  <si>
    <t>Jagadish Ganguly</t>
  </si>
  <si>
    <t>Advance- KPCWA</t>
  </si>
  <si>
    <t>Advance Rent - Jyotishka Project</t>
  </si>
  <si>
    <t>Ritwik Patra</t>
  </si>
  <si>
    <t>Advance againsr remuneration- Joydeep Guha</t>
  </si>
  <si>
    <t>Arpan Bhattacharya</t>
  </si>
  <si>
    <t>Chandana Chakraborty</t>
  </si>
  <si>
    <t>Chiranjib Samanta</t>
  </si>
  <si>
    <t>Debashis Ghosh</t>
  </si>
  <si>
    <t>Dipak Mondal</t>
  </si>
  <si>
    <t>Gunja Kumari</t>
  </si>
  <si>
    <t>Kartick Dey</t>
  </si>
  <si>
    <t>Kaustuv Sarkar</t>
  </si>
  <si>
    <t>Moumita Shee</t>
  </si>
  <si>
    <t>Mrinal Kanti Guha</t>
  </si>
  <si>
    <t>Ranju Ghosh</t>
  </si>
  <si>
    <t>Pradeep Roul</t>
  </si>
  <si>
    <t>Rajesh Prasad</t>
  </si>
  <si>
    <t>Rima Nandy</t>
  </si>
  <si>
    <t>Samar Banik</t>
  </si>
  <si>
    <t>Shibani Bardhan</t>
  </si>
  <si>
    <t>Kenzo</t>
  </si>
  <si>
    <t>Prapti</t>
  </si>
  <si>
    <t>Advance from KMC</t>
  </si>
  <si>
    <t>Donation Received</t>
  </si>
  <si>
    <t>Profit on Sale of Ambassador</t>
  </si>
  <si>
    <t>Bank Charges</t>
  </si>
  <si>
    <t>Computer Peripherals</t>
  </si>
  <si>
    <t>Donation</t>
  </si>
  <si>
    <t>Electric Charge</t>
  </si>
  <si>
    <t>Foreign Exchange Loss</t>
  </si>
  <si>
    <t>Salary - Admin Assistant</t>
  </si>
  <si>
    <t>Telephone &amp; Internet Charges</t>
  </si>
  <si>
    <t>Training Fees</t>
  </si>
  <si>
    <t>Custom Duty</t>
  </si>
  <si>
    <t>GSP Certification Charge</t>
  </si>
  <si>
    <t>Freight &amp; Courier &amp; Delivery  Charges</t>
  </si>
  <si>
    <t>Less : Delivery Charges received</t>
  </si>
  <si>
    <t>Coolie &amp; Cartage</t>
  </si>
  <si>
    <t>Cutting Charge</t>
  </si>
  <si>
    <t>Sewing Charge</t>
  </si>
  <si>
    <t>Disability Project</t>
  </si>
  <si>
    <t>Special Education on Wheel</t>
  </si>
  <si>
    <t>Uttaran Project</t>
  </si>
  <si>
    <t>Communitu Contribution- Model School</t>
  </si>
  <si>
    <t>Community Contribution - Stiching Cell</t>
  </si>
  <si>
    <t>Income - Half Way Home</t>
  </si>
  <si>
    <t>Medical Expense</t>
  </si>
  <si>
    <t>Mess &amp; Accommodation fees</t>
  </si>
  <si>
    <t>Food &amp; Tiffin</t>
  </si>
  <si>
    <t>Mess Charges</t>
  </si>
  <si>
    <t>Vocational Training Fees</t>
  </si>
  <si>
    <t xml:space="preserve">Festival Allowance </t>
  </si>
  <si>
    <t>Freight &amp; Courier Charge</t>
  </si>
  <si>
    <t>Teacher's Training &amp; Workshop</t>
  </si>
  <si>
    <t>Bridge Course Materials</t>
  </si>
  <si>
    <t>Xerox Charges</t>
  </si>
  <si>
    <t>Salary- Asst. Co-ordinator</t>
  </si>
  <si>
    <t>Salary - Teacher</t>
  </si>
  <si>
    <t>Cultural &amp; Sports</t>
  </si>
  <si>
    <t>Cleaning</t>
  </si>
  <si>
    <t>Maintenance Charges</t>
  </si>
  <si>
    <t>Exposure Tips</t>
  </si>
  <si>
    <t>Teacher's Training</t>
  </si>
  <si>
    <t>Book</t>
  </si>
  <si>
    <t>Salary - Project Supervisor/ Co-ordinator</t>
  </si>
  <si>
    <t>Food</t>
  </si>
  <si>
    <t>Honorarium to Resource Person</t>
  </si>
  <si>
    <t>Training Kits</t>
  </si>
  <si>
    <t>Annexure - 22</t>
  </si>
  <si>
    <t>Expenses- Disability Project</t>
  </si>
  <si>
    <t>Miscellaneous</t>
  </si>
  <si>
    <t>Monitoring Expenses</t>
  </si>
  <si>
    <t>Honorarium to Consultant</t>
  </si>
  <si>
    <t>Sports &amp; Cultural</t>
  </si>
  <si>
    <t>Annexure - 23</t>
  </si>
  <si>
    <t>Expenses- Uttaran Project</t>
  </si>
  <si>
    <t>Maintenance Charge</t>
  </si>
  <si>
    <t>Salary - Jr Executive</t>
  </si>
  <si>
    <t xml:space="preserve">Stationery </t>
  </si>
  <si>
    <t>Honorarium to Resource  Person</t>
  </si>
  <si>
    <t>Salary- Project Co-ordinator</t>
  </si>
  <si>
    <t>Salary- Project Counselor</t>
  </si>
  <si>
    <t>Salary- Support Teacher</t>
  </si>
  <si>
    <t>Admission &amp; Tuition Fees</t>
  </si>
  <si>
    <t>Education &amp; Training Materials</t>
  </si>
  <si>
    <t>Orientation / Workshop Programme</t>
  </si>
  <si>
    <t>Stipend for Trainees</t>
  </si>
  <si>
    <t>Expense - Core Project</t>
  </si>
  <si>
    <t>Expense - Mother Project</t>
  </si>
  <si>
    <t>Expense - Open School</t>
  </si>
  <si>
    <t>Expense - Half Way Home</t>
  </si>
  <si>
    <t>Expense - Computer Training Project</t>
  </si>
  <si>
    <t>Expense - Health Programme</t>
  </si>
  <si>
    <t>Annexure  25</t>
  </si>
  <si>
    <t>Annexure  26</t>
  </si>
  <si>
    <t>Annexure  27</t>
  </si>
  <si>
    <t>Annexure  28</t>
  </si>
  <si>
    <t>Annexure  29</t>
  </si>
  <si>
    <t>Annexure - 24</t>
  </si>
  <si>
    <t>Expenses- Core Project</t>
  </si>
  <si>
    <t>Bank Guarantee Commission</t>
  </si>
  <si>
    <t>Bank Interest</t>
  </si>
  <si>
    <t>Interest on Vehicle Loan</t>
  </si>
  <si>
    <t>Mediclaim</t>
  </si>
  <si>
    <t>Motor Bike Insurance</t>
  </si>
  <si>
    <t>Vehicle Insurance</t>
  </si>
  <si>
    <t>Upkeep of Building</t>
  </si>
  <si>
    <t>Annual Maintenance Service</t>
  </si>
  <si>
    <t>Los on sale of Tata Sumo</t>
  </si>
  <si>
    <t>Miscellaneous Expense</t>
  </si>
  <si>
    <t>Postage &amp; Courier Charge</t>
  </si>
  <si>
    <t>Security Service Charge</t>
  </si>
  <si>
    <t>Telephone &amp; Internet Charge</t>
  </si>
  <si>
    <t>Xerox Charge</t>
  </si>
  <si>
    <t>Fundrising Events / Initiatives</t>
  </si>
  <si>
    <t>Rent for Web Server</t>
  </si>
  <si>
    <t>Sftware Maintenance Charge</t>
  </si>
  <si>
    <t>Vehicle Running &amp; Maintenance</t>
  </si>
  <si>
    <t>Pilot Project ( Dantewada )</t>
  </si>
  <si>
    <t>Pilot Project ( Jyotishka )</t>
  </si>
  <si>
    <t>Travelling &amp; Conveyance- Admin</t>
  </si>
  <si>
    <t>Publicity Advertisement Video on TV</t>
  </si>
  <si>
    <t>Consultancy Fees- Admin</t>
  </si>
  <si>
    <t>Consultancy Fees- Diganta Project</t>
  </si>
  <si>
    <t>Honorarium to Research Studies</t>
  </si>
  <si>
    <t>Travelling to Resource Person</t>
  </si>
  <si>
    <t>Disabled Identification &amp; Certification Camp expenses</t>
  </si>
  <si>
    <t>Documentation &amp; Publication</t>
  </si>
  <si>
    <t>Human Resource Training</t>
  </si>
  <si>
    <t>Volunteer Expenses</t>
  </si>
  <si>
    <t>Annexure - 25</t>
  </si>
  <si>
    <t>Expenses- Mother Project</t>
  </si>
  <si>
    <t>Annual Fees to KMC</t>
  </si>
  <si>
    <t>Repairs &amp; Maintenance</t>
  </si>
  <si>
    <t>Reward to Staff</t>
  </si>
  <si>
    <t>Prizes</t>
  </si>
  <si>
    <t>Rabindrajanti Expenses</t>
  </si>
  <si>
    <t>Saraswati Puja Expenses</t>
  </si>
  <si>
    <t>Cultural Equipments</t>
  </si>
  <si>
    <t>Tiffin to Teachers</t>
  </si>
  <si>
    <t>Tuition Fees</t>
  </si>
  <si>
    <t xml:space="preserve">Uniform </t>
  </si>
  <si>
    <t>Water</t>
  </si>
  <si>
    <t>Honorarium to Cultural Staff</t>
  </si>
  <si>
    <t>Honorarium to Pre- Vocational Cell Teacher</t>
  </si>
  <si>
    <t>Honorarium to Teacher</t>
  </si>
  <si>
    <t>Annexure - 26</t>
  </si>
  <si>
    <t xml:space="preserve">Expenses- Open School </t>
  </si>
  <si>
    <t>Cleaning Charge</t>
  </si>
  <si>
    <t>Annexure - 27</t>
  </si>
  <si>
    <t>Expenses- Half Way Home</t>
  </si>
  <si>
    <t>Utensils</t>
  </si>
  <si>
    <t>Salary ( Cook )</t>
  </si>
  <si>
    <t>Salary ( HWH )</t>
  </si>
  <si>
    <t>Travelling to Supervisor</t>
  </si>
  <si>
    <t>Annexure - 28</t>
  </si>
  <si>
    <t>Expenses- Computer Training Project</t>
  </si>
  <si>
    <t>Internet Installation Charge</t>
  </si>
  <si>
    <t>Repairs &amp; Maintenace</t>
  </si>
  <si>
    <t>Rent for Computer School</t>
  </si>
  <si>
    <t>Honrorarium to Computer Staff</t>
  </si>
  <si>
    <t>Annexure - 29</t>
  </si>
  <si>
    <t>Expenses- Health Programme</t>
  </si>
  <si>
    <t>Office Stationery</t>
  </si>
  <si>
    <t>Doctor's Professional Charge</t>
  </si>
  <si>
    <t>Less : Sale/ transfer</t>
  </si>
  <si>
    <t>31.03.2010</t>
  </si>
  <si>
    <t>Annexure -24A</t>
  </si>
  <si>
    <t>Annexure -24B</t>
  </si>
  <si>
    <t>Annexure - 24A</t>
  </si>
  <si>
    <t>Expenses- Pilot Project ( Dantewada )</t>
  </si>
  <si>
    <t>Bed &amp; Beddings</t>
  </si>
  <si>
    <t>Electrical Iteams</t>
  </si>
  <si>
    <t>Inaguration Expenses</t>
  </si>
  <si>
    <t>Internet Charge</t>
  </si>
  <si>
    <t>Iteams of the Boarders</t>
  </si>
  <si>
    <t>Kitchen Iteams &amp; Utensils</t>
  </si>
  <si>
    <t>Mid-day Meal</t>
  </si>
  <si>
    <t>Office Iteams</t>
  </si>
  <si>
    <t>Others Meal</t>
  </si>
  <si>
    <t>Salary- Cook</t>
  </si>
  <si>
    <t>Salary- Co-ordinator</t>
  </si>
  <si>
    <t>Salary- Teacher</t>
  </si>
  <si>
    <t>Salary- Guard</t>
  </si>
  <si>
    <t>Sports &amp; Games Iteams</t>
  </si>
  <si>
    <t>Transportation Charge</t>
  </si>
  <si>
    <t>Vehicles Running &amp; Maintenance</t>
  </si>
  <si>
    <t>Annexure - 24B</t>
  </si>
  <si>
    <t>Expenses- Pilot Project ( Jyotishka )</t>
  </si>
  <si>
    <t>Admin Support from KPCA</t>
  </si>
  <si>
    <t>Beddings</t>
  </si>
  <si>
    <t>Salary- Cook( Helper )</t>
  </si>
  <si>
    <t>Salary- Programme Coordinator</t>
  </si>
  <si>
    <t>Salary - Creche  Mother</t>
  </si>
  <si>
    <t>Admin Cost</t>
  </si>
  <si>
    <t>Programme Cost</t>
  </si>
  <si>
    <t>Programme Salaries</t>
  </si>
  <si>
    <t>`</t>
  </si>
  <si>
    <t>Cultural Programme</t>
  </si>
  <si>
    <t>Educational Programme</t>
  </si>
  <si>
    <t>Programme Cost- Eve School</t>
  </si>
  <si>
    <t>Programme Cost - Formal School</t>
  </si>
  <si>
    <t>Programme Monitoring</t>
  </si>
  <si>
    <t>Admin Overheads</t>
  </si>
  <si>
    <t>Admin Salaries</t>
  </si>
  <si>
    <t>Administratin Cost</t>
  </si>
  <si>
    <t>Monitoring Coat</t>
  </si>
  <si>
    <t>Programme Implimentation Cost</t>
  </si>
  <si>
    <t>Training &amp; Education Cost</t>
  </si>
  <si>
    <t>Disability Identification Camp</t>
  </si>
  <si>
    <t>Awarness Programme Cost</t>
  </si>
  <si>
    <t>Others Programme Cost</t>
  </si>
  <si>
    <t>Travelling for Monitoring</t>
  </si>
  <si>
    <t>Learning Materials</t>
  </si>
  <si>
    <t>Honorarim to Resource Person</t>
  </si>
  <si>
    <t>Programme salaries</t>
  </si>
  <si>
    <t>Asha LA Chapter ( Model School )</t>
  </si>
  <si>
    <t>Salary &amp; Honorarium</t>
  </si>
  <si>
    <t>Awrness Camp</t>
  </si>
  <si>
    <t>Clinic &amp; Training Cost</t>
  </si>
  <si>
    <t>FIXED ASSETS - TF</t>
  </si>
  <si>
    <t>SCHEDULE-1</t>
  </si>
  <si>
    <t>SCHEDULE-2</t>
  </si>
  <si>
    <t>SCHEDULE-3</t>
  </si>
  <si>
    <t>SCHEDULE -5</t>
  </si>
  <si>
    <t>SCHEDULE -10</t>
  </si>
  <si>
    <t>SCHEDULE -11</t>
  </si>
  <si>
    <t>SCHEDULE -12</t>
  </si>
  <si>
    <t>SCHEDULE -13</t>
  </si>
  <si>
    <t>SCHEDULE -14</t>
  </si>
  <si>
    <t>SCHEDULE -15</t>
  </si>
  <si>
    <t>SCHEDULE -16</t>
  </si>
  <si>
    <t>SCHEDULE -17</t>
  </si>
  <si>
    <t>SCHEDULE -18</t>
  </si>
  <si>
    <t>SCHEDULE -19</t>
  </si>
  <si>
    <t>SCHEDULE -20</t>
  </si>
  <si>
    <t>Less : Foreign Exchange Gain</t>
  </si>
  <si>
    <t>Vishakarma Puja Expense</t>
  </si>
  <si>
    <t>BALANCE SHEET AS AT 31ST MARCH , 2010</t>
  </si>
  <si>
    <t>Expenses- Asha ABC Chapter</t>
  </si>
  <si>
    <t>Expenses- Asha LA Chapter</t>
  </si>
  <si>
    <t>Expenses-  Community Based Education Project</t>
  </si>
  <si>
    <t>Expenses-  Concern India Foundation</t>
  </si>
  <si>
    <t>Expenses- Goal Project</t>
  </si>
  <si>
    <t>Expenses- Peoples Bridge Charitable Foundation</t>
  </si>
  <si>
    <t>Expenses- Sports &amp; Cultural</t>
  </si>
  <si>
    <t>Expenses- Asha SV chapter</t>
  </si>
  <si>
    <t>Expenses- MAC</t>
  </si>
  <si>
    <t>Expenses- Tata Communication Ltd</t>
  </si>
  <si>
    <t>Annexure - 30</t>
  </si>
  <si>
    <t>Other Sponsorship Income</t>
  </si>
  <si>
    <t>Sponsorship Income from Chandraballi Bhattacharya</t>
  </si>
  <si>
    <t>Sponsorship Income from Dr. Kundu</t>
  </si>
  <si>
    <t>Sponsorship Income - On Line</t>
  </si>
  <si>
    <t>Sponsorship Income from Miscellaneous sponsorer</t>
  </si>
  <si>
    <t>Sponsorship Income from Jagadish Ghosh</t>
  </si>
  <si>
    <t xml:space="preserve">Sponsorship Income from Ladies Circle </t>
  </si>
  <si>
    <t>Sponsorship for Annual Report Publication</t>
  </si>
  <si>
    <t>SOCIETY INCOME ( ONLY DONATION )</t>
  </si>
  <si>
    <t>OTHER SOCIETY INCOME</t>
  </si>
  <si>
    <t>Annexure - 31</t>
  </si>
  <si>
    <t>Other Donations ( Received from Miscellaneous Donars )</t>
  </si>
  <si>
    <t>Donation Received from Angelica</t>
  </si>
  <si>
    <t>Donation Received for Treatment of Abhishek Mukherjee</t>
  </si>
  <si>
    <t>Donation Received from Molinery</t>
  </si>
  <si>
    <t>Donation Received for Pilot Project</t>
  </si>
  <si>
    <t>Donation Received from Planete Coeour</t>
  </si>
  <si>
    <t>Donation Received from Resurrexxit</t>
  </si>
  <si>
    <t>Donation Received from Treliscooper</t>
  </si>
  <si>
    <t>Donation Received from Girija</t>
  </si>
  <si>
    <t>Donation Received from Suchandra Guha</t>
  </si>
  <si>
    <t>Schedule - A forming part of Balance Sheet</t>
  </si>
  <si>
    <t>Fixed Assets - TF</t>
  </si>
  <si>
    <t>Name of Asset</t>
  </si>
  <si>
    <t>%</t>
  </si>
  <si>
    <t xml:space="preserve">Location </t>
  </si>
  <si>
    <t>Op. Balance</t>
  </si>
  <si>
    <t xml:space="preserve">Cost </t>
  </si>
  <si>
    <t>Carrying/Installation Charges</t>
  </si>
  <si>
    <t>Total Cost</t>
  </si>
  <si>
    <t>Depreciation</t>
  </si>
  <si>
    <t>Sale/Transfer</t>
  </si>
  <si>
    <t>Closing Balance</t>
  </si>
  <si>
    <t>Upto sep</t>
  </si>
  <si>
    <t>After sep</t>
  </si>
  <si>
    <t>BLOCK-A ( Dep -60% )</t>
  </si>
  <si>
    <t>Computer Machine</t>
  </si>
  <si>
    <t>Admin Office</t>
  </si>
  <si>
    <t>Computer Machine(Jean Clement)</t>
  </si>
  <si>
    <t>Computer Software-TF</t>
  </si>
  <si>
    <t>Computer Software - 2nd project</t>
  </si>
  <si>
    <t>BLOCK - B ( Dep- 15%)</t>
  </si>
  <si>
    <t>Car ( Tata Sumo )</t>
  </si>
  <si>
    <t>Xerox Machine</t>
  </si>
  <si>
    <t>Ayuaguard Machine</t>
  </si>
  <si>
    <t>Half Way Home</t>
  </si>
  <si>
    <t>Camera</t>
  </si>
  <si>
    <t>Fax Machine</t>
  </si>
  <si>
    <t>Generator</t>
  </si>
  <si>
    <t>Tape Recorder</t>
  </si>
  <si>
    <t>Telephone Installation</t>
  </si>
  <si>
    <t>Television VCR Etc</t>
  </si>
  <si>
    <t>Type Writer Machine</t>
  </si>
  <si>
    <t>Car - Goal</t>
  </si>
  <si>
    <t>Sweeing Machine</t>
  </si>
  <si>
    <t>Printing Machinery- Goal</t>
  </si>
  <si>
    <t>BLOCK - C ( Dep - 10% )</t>
  </si>
  <si>
    <t>Building</t>
  </si>
  <si>
    <t>BLOCK - D ( Dep - 10% )</t>
  </si>
  <si>
    <t>Ceasefire</t>
  </si>
  <si>
    <t>Electric Installation</t>
  </si>
  <si>
    <t>Fan</t>
  </si>
  <si>
    <t>Furniture &amp; Fixtures</t>
  </si>
  <si>
    <t>Electric iron</t>
  </si>
  <si>
    <t>Card Project</t>
  </si>
  <si>
    <t>BLOCK - E ( Dep - 0% )</t>
  </si>
  <si>
    <t>Land</t>
  </si>
  <si>
    <t>O%</t>
  </si>
  <si>
    <t>TOTAL OF FIXED ASSETS - TF</t>
  </si>
  <si>
    <t>Fixed Assets - TFCP</t>
  </si>
  <si>
    <t>Computer Machine-Card project</t>
  </si>
  <si>
    <t>Computer Software- 2nd project</t>
  </si>
  <si>
    <t>Computer - Goal VT project</t>
  </si>
  <si>
    <t>Sewing Machine</t>
  </si>
  <si>
    <t>Printing Machine</t>
  </si>
  <si>
    <t>Printing Machinery - TF</t>
  </si>
  <si>
    <t>Preinting Machinery- Goal</t>
  </si>
  <si>
    <t>Electric Iron</t>
  </si>
  <si>
    <t>Fan - card Project</t>
  </si>
  <si>
    <t>Furniture &amp; Fixtures - Card Project</t>
  </si>
  <si>
    <t>TOTAL OF FIXED ASSETS - TFCP</t>
  </si>
  <si>
    <t>TOMORROW'S FOUNDATION  FIXED ASSET REGISTER - 2009-10</t>
  </si>
  <si>
    <t>Goal India</t>
  </si>
  <si>
    <t>Helga Wallinger</t>
  </si>
  <si>
    <t>Nigel Attkinson</t>
  </si>
  <si>
    <t>Megan Park</t>
  </si>
  <si>
    <t>Tharan Badi</t>
  </si>
  <si>
    <t>Miscellaneous Donation</t>
  </si>
  <si>
    <t>Abhijit Basu</t>
  </si>
  <si>
    <t>(Pilot Project)</t>
  </si>
  <si>
    <t xml:space="preserve"> </t>
  </si>
  <si>
    <t>Expenses for Renovation of CBEP Centre</t>
  </si>
  <si>
    <t>Disability Camp for Awarness Generation</t>
  </si>
  <si>
    <t>Food , Decoration etc.</t>
  </si>
  <si>
    <t>Fencing of Land for Disability Centre</t>
  </si>
  <si>
    <t>Annexure - 32</t>
  </si>
  <si>
    <t>Booking of Foodball stadium</t>
  </si>
  <si>
    <t>Prizes and Momento</t>
  </si>
  <si>
    <t>Food and Refreshment</t>
  </si>
  <si>
    <t>Lodging Expenses</t>
  </si>
  <si>
    <t>Tour  Expenses</t>
  </si>
  <si>
    <t>Vehicle Running &amp; Maintanance</t>
  </si>
  <si>
    <t>Society expenses for Sponsored child</t>
  </si>
  <si>
    <t>Other Sponsorship</t>
  </si>
  <si>
    <t>Dilip Pramanik -Sponsoror  Dr. Abhijit Neogi</t>
  </si>
  <si>
    <t>Sutapa Chakraborty - Sponsorer  Abhisek Chaki</t>
  </si>
  <si>
    <t>Pulak Ghosh - Sponsoror Dr. Kundu</t>
  </si>
  <si>
    <t>Arnab Ghosh - Sponsoror Jagadish Gosh</t>
  </si>
  <si>
    <t>Profession Tax</t>
  </si>
  <si>
    <t>Cloths</t>
  </si>
  <si>
    <t>Fooding and Lodging</t>
  </si>
  <si>
    <t>Postage and Courier</t>
  </si>
  <si>
    <t>Mid day meal</t>
  </si>
  <si>
    <t>Saraswati Puja</t>
  </si>
  <si>
    <t>Project - NCVT</t>
  </si>
  <si>
    <t>Hostel Charge -</t>
  </si>
  <si>
    <t>Tea &amp; Snacks-</t>
  </si>
  <si>
    <t>Travelling &amp; Conveyance-</t>
  </si>
  <si>
    <t xml:space="preserve">Training Materials </t>
  </si>
  <si>
    <t>Annexure - 24C</t>
  </si>
  <si>
    <t>Annexure -24C</t>
  </si>
  <si>
    <t>Expenses-  Project NCVT</t>
  </si>
  <si>
    <t>Annexure  30</t>
  </si>
  <si>
    <t>Brokerage &amp; Commission</t>
  </si>
  <si>
    <t>Stall Rent</t>
  </si>
  <si>
    <t>Bad Dept</t>
  </si>
  <si>
    <t>Goal Project - Society Contribution</t>
  </si>
  <si>
    <t xml:space="preserve">Health Camp - Jyotiska </t>
  </si>
  <si>
    <r>
      <t>Prepaid expenses (</t>
    </r>
    <r>
      <rPr>
        <b/>
        <sz val="10"/>
        <rFont val="Arial"/>
        <family val="2"/>
      </rPr>
      <t xml:space="preserve"> Rotary Project</t>
    </r>
    <r>
      <rPr>
        <sz val="10"/>
        <rFont val="Arial"/>
        <family val="2"/>
      </rPr>
      <t>)</t>
    </r>
  </si>
  <si>
    <r>
      <t xml:space="preserve">Provision for Bad Debts( </t>
    </r>
    <r>
      <rPr>
        <b/>
        <sz val="10"/>
        <rFont val="Arial"/>
        <family val="2"/>
      </rPr>
      <t>Unrealised TFCP Bills</t>
    </r>
    <r>
      <rPr>
        <sz val="10"/>
        <rFont val="Arial"/>
        <family val="2"/>
      </rPr>
      <t>)</t>
    </r>
  </si>
  <si>
    <t>Bank - NCVT</t>
  </si>
  <si>
    <t>Sukanta Gayen</t>
  </si>
  <si>
    <t>Raju Das</t>
  </si>
  <si>
    <t>Advance against Salary - Ritwik Patra</t>
  </si>
  <si>
    <t>Pradip Mondal</t>
  </si>
  <si>
    <t>Liabilities Written off</t>
  </si>
  <si>
    <t>Liabilities for Travelling &amp; Conveyance( Admin)</t>
  </si>
  <si>
    <t>Liabilities for Tea &amp; Snacks etc ( Admin)</t>
  </si>
  <si>
    <t>Travelling &amp; Conveyance ( NCVT)</t>
  </si>
  <si>
    <t>Liabilities for Admissio &amp; Tuition Fees _ Uttaran</t>
  </si>
  <si>
    <t>Liabilities for  Examination Fees</t>
  </si>
  <si>
    <t xml:space="preserve">Health Camp </t>
  </si>
  <si>
    <t>Rachi Tour Expenses</t>
  </si>
  <si>
    <t>Amitava Dey</t>
  </si>
  <si>
    <t>Anaz Traders</t>
  </si>
  <si>
    <t>Bengal Computers</t>
  </si>
  <si>
    <t>Karan Motors</t>
  </si>
  <si>
    <t>Saral Maitra</t>
  </si>
  <si>
    <t>Subhendu Sarkar</t>
  </si>
  <si>
    <t>R.B.Enterprises International Pvt. Ltd</t>
  </si>
  <si>
    <t>Dipanjan Das( Sponsored Student)</t>
  </si>
  <si>
    <t>Pulak Ghosh( Sponsored Student)</t>
  </si>
  <si>
    <t>Security Deposit ( Electric)</t>
  </si>
  <si>
    <t>TOMORROW'S FOUNDATION</t>
  </si>
  <si>
    <t xml:space="preserve">            for NAG &amp; ASSOCIATES</t>
  </si>
  <si>
    <t>[Abhijit Ganguly - Partner]</t>
  </si>
  <si>
    <t>1, Fern Place, Kolkata - 700 019</t>
  </si>
  <si>
    <t xml:space="preserve">Date : </t>
  </si>
  <si>
    <r>
      <t xml:space="preserve">for </t>
    </r>
    <r>
      <rPr>
        <b/>
        <sz val="10"/>
        <rFont val="Arial"/>
        <family val="2"/>
      </rPr>
      <t>NAG &amp; ASSOCIATES</t>
    </r>
  </si>
  <si>
    <t>Chartered Accountant</t>
  </si>
  <si>
    <t>As per our annexed report of even date</t>
  </si>
  <si>
    <t>PRESIDENT</t>
  </si>
  <si>
    <t>SECRETARY</t>
  </si>
  <si>
    <t>TREASURER</t>
  </si>
  <si>
    <t>SCHEDULES FORMING PART OF THE  BALANCE SHEET</t>
  </si>
  <si>
    <t xml:space="preserve">1.  CAPITAL  FUND     </t>
  </si>
  <si>
    <t>3. CORPUS FUND</t>
  </si>
  <si>
    <t>SCHEDULE-4</t>
  </si>
  <si>
    <t>4.SECURED LOAN</t>
  </si>
  <si>
    <t>Calcutta De la Rue a le cole for Medical Mobile Van</t>
  </si>
  <si>
    <t>Rotary Club 18 Computers for Computer Training</t>
  </si>
  <si>
    <t>SCHEDULE -6</t>
  </si>
  <si>
    <t>SCHEDULE 7</t>
  </si>
  <si>
    <t>SCHEDULE -8</t>
  </si>
  <si>
    <t>SCHEDULE- 9</t>
  </si>
  <si>
    <t xml:space="preserve">a)Sundry Creditors </t>
  </si>
  <si>
    <t xml:space="preserve"> INCOME AND EXPENDITURE ACCOUNT</t>
  </si>
  <si>
    <t xml:space="preserve">Income </t>
  </si>
  <si>
    <t>Below 6 months</t>
  </si>
  <si>
    <t>Above 6 months</t>
  </si>
  <si>
    <t>FIXED DEPOSIT AND INTEREST</t>
  </si>
  <si>
    <t>OLD FD.</t>
  </si>
  <si>
    <t>PRINCIPAL</t>
  </si>
  <si>
    <t>PREMATURED</t>
  </si>
  <si>
    <t>FD NO.</t>
  </si>
  <si>
    <t xml:space="preserve">DATE OF </t>
  </si>
  <si>
    <t xml:space="preserve">PRINCIPAL </t>
  </si>
  <si>
    <t>BANK</t>
  </si>
  <si>
    <t>DATE OF</t>
  </si>
  <si>
    <t>MODE OF</t>
  </si>
  <si>
    <t>MATURITY</t>
  </si>
  <si>
    <t>NO</t>
  </si>
  <si>
    <t>AMOUNT</t>
  </si>
  <si>
    <t>INTEREST</t>
  </si>
  <si>
    <t>ISSUE</t>
  </si>
  <si>
    <t>MONTHS</t>
  </si>
  <si>
    <t>14.11.2008</t>
  </si>
  <si>
    <t>BOM</t>
  </si>
  <si>
    <t>14.11.2011</t>
  </si>
  <si>
    <t>QID</t>
  </si>
  <si>
    <t>21.11.2008</t>
  </si>
  <si>
    <t>21.11.2011</t>
  </si>
  <si>
    <t>21.11.2009</t>
  </si>
  <si>
    <t>21.11.2012</t>
  </si>
  <si>
    <t>21.11.2010</t>
  </si>
  <si>
    <t>21.11.2013</t>
  </si>
  <si>
    <t>21.11.2014</t>
  </si>
  <si>
    <t>21.11.2015</t>
  </si>
  <si>
    <t>21.11.2016</t>
  </si>
  <si>
    <t>675802</t>
  </si>
  <si>
    <t>675803</t>
  </si>
  <si>
    <t>675575</t>
  </si>
  <si>
    <t>10.09.2008</t>
  </si>
  <si>
    <t>10.09.2013</t>
  </si>
  <si>
    <t>MID</t>
  </si>
  <si>
    <t>675265</t>
  </si>
  <si>
    <t>27.06.2008</t>
  </si>
  <si>
    <t>27.06.2013</t>
  </si>
  <si>
    <t>675801</t>
  </si>
  <si>
    <t>13.07.2006</t>
  </si>
  <si>
    <t>13.07.2012</t>
  </si>
  <si>
    <t>Accrued Interest</t>
  </si>
  <si>
    <t>Chartered Accountants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</si>
</sst>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" fontId="0" fillId="0" borderId="22" xfId="0" applyNumberFormat="1" applyFont="1" applyBorder="1" applyAlignment="1">
      <alignment/>
    </xf>
    <xf numFmtId="2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2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2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3" fillId="0" borderId="36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0" fillId="0" borderId="35" xfId="0" applyNumberFormat="1" applyFont="1" applyBorder="1" applyAlignment="1">
      <alignment horizontal="right"/>
    </xf>
    <xf numFmtId="0" fontId="5" fillId="0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2" fontId="0" fillId="0" borderId="44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5" xfId="0" applyFont="1" applyBorder="1" applyAlignment="1">
      <alignment horizontal="center"/>
    </xf>
    <xf numFmtId="2" fontId="0" fillId="0" borderId="32" xfId="0" applyNumberFormat="1" applyFont="1" applyFill="1" applyBorder="1" applyAlignment="1">
      <alignment/>
    </xf>
    <xf numFmtId="2" fontId="4" fillId="0" borderId="32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32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/>
    </xf>
    <xf numFmtId="178" fontId="0" fillId="0" borderId="32" xfId="0" applyNumberFormat="1" applyFont="1" applyBorder="1" applyAlignment="1">
      <alignment/>
    </xf>
    <xf numFmtId="0" fontId="9" fillId="0" borderId="3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8" fillId="0" borderId="47" xfId="0" applyFont="1" applyBorder="1" applyAlignment="1">
      <alignment/>
    </xf>
    <xf numFmtId="2" fontId="3" fillId="0" borderId="44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3" fillId="0" borderId="51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14" fillId="0" borderId="28" xfId="0" applyFont="1" applyBorder="1" applyAlignment="1">
      <alignment/>
    </xf>
    <xf numFmtId="2" fontId="14" fillId="0" borderId="28" xfId="0" applyNumberFormat="1" applyFont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0" borderId="56" xfId="0" applyFont="1" applyBorder="1" applyAlignment="1">
      <alignment/>
    </xf>
    <xf numFmtId="2" fontId="3" fillId="0" borderId="57" xfId="0" applyNumberFormat="1" applyFont="1" applyBorder="1" applyAlignment="1">
      <alignment/>
    </xf>
    <xf numFmtId="2" fontId="3" fillId="0" borderId="58" xfId="0" applyNumberFormat="1" applyFont="1" applyBorder="1" applyAlignment="1">
      <alignment/>
    </xf>
    <xf numFmtId="0" fontId="3" fillId="0" borderId="57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3" fillId="0" borderId="33" xfId="0" applyFont="1" applyBorder="1" applyAlignment="1">
      <alignment/>
    </xf>
    <xf numFmtId="2" fontId="3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59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 horizontal="center"/>
    </xf>
    <xf numFmtId="2" fontId="0" fillId="0" borderId="52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0" fontId="0" fillId="0" borderId="60" xfId="0" applyFont="1" applyBorder="1" applyAlignment="1">
      <alignment/>
    </xf>
    <xf numFmtId="2" fontId="0" fillId="0" borderId="3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0" fillId="0" borderId="30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0" fontId="3" fillId="0" borderId="58" xfId="0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43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1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3" fillId="0" borderId="21" xfId="0" applyNumberFormat="1" applyFont="1" applyBorder="1" applyAlignment="1">
      <alignment/>
    </xf>
    <xf numFmtId="2" fontId="0" fillId="0" borderId="63" xfId="0" applyNumberFormat="1" applyFont="1" applyBorder="1" applyAlignment="1">
      <alignment/>
    </xf>
    <xf numFmtId="0" fontId="3" fillId="0" borderId="64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/>
    </xf>
    <xf numFmtId="0" fontId="3" fillId="0" borderId="66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67" xfId="0" applyFont="1" applyBorder="1" applyAlignment="1">
      <alignment/>
    </xf>
    <xf numFmtId="0" fontId="5" fillId="0" borderId="21" xfId="0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57" xfId="0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44" xfId="0" applyFont="1" applyBorder="1" applyAlignment="1">
      <alignment/>
    </xf>
    <xf numFmtId="2" fontId="0" fillId="0" borderId="32" xfId="53" applyNumberFormat="1" applyFont="1" applyBorder="1" applyAlignment="1" applyProtection="1">
      <alignment/>
      <protection/>
    </xf>
    <xf numFmtId="0" fontId="0" fillId="0" borderId="7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28" xfId="0" applyFont="1" applyFill="1" applyBorder="1" applyAlignment="1">
      <alignment/>
    </xf>
    <xf numFmtId="0" fontId="0" fillId="0" borderId="72" xfId="0" applyFont="1" applyBorder="1" applyAlignment="1">
      <alignment/>
    </xf>
    <xf numFmtId="0" fontId="3" fillId="0" borderId="28" xfId="0" applyFont="1" applyFill="1" applyBorder="1" applyAlignment="1">
      <alignment horizontal="right"/>
    </xf>
    <xf numFmtId="2" fontId="0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4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71" fontId="0" fillId="0" borderId="32" xfId="42" applyFont="1" applyBorder="1" applyAlignment="1" applyProtection="1">
      <alignment/>
      <protection/>
    </xf>
    <xf numFmtId="171" fontId="0" fillId="0" borderId="32" xfId="42" applyFont="1" applyBorder="1" applyAlignment="1">
      <alignment/>
    </xf>
    <xf numFmtId="0" fontId="7" fillId="0" borderId="73" xfId="0" applyFont="1" applyBorder="1" applyAlignment="1">
      <alignment/>
    </xf>
    <xf numFmtId="0" fontId="8" fillId="0" borderId="67" xfId="0" applyFont="1" applyBorder="1" applyAlignment="1">
      <alignment/>
    </xf>
    <xf numFmtId="0" fontId="0" fillId="0" borderId="62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2" fontId="0" fillId="0" borderId="74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/>
    </xf>
    <xf numFmtId="0" fontId="0" fillId="0" borderId="0" xfId="0" applyFont="1" applyFill="1" applyAlignment="1">
      <alignment/>
    </xf>
    <xf numFmtId="2" fontId="0" fillId="0" borderId="20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2" fontId="0" fillId="0" borderId="75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76" xfId="0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1" xfId="0" applyNumberFormat="1" applyFont="1" applyFill="1" applyBorder="1" applyAlignment="1">
      <alignment horizontal="right"/>
    </xf>
    <xf numFmtId="2" fontId="0" fillId="0" borderId="74" xfId="0" applyNumberFormat="1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7" xfId="0" applyNumberFormat="1" applyFont="1" applyBorder="1" applyAlignment="1">
      <alignment horizontal="right"/>
    </xf>
    <xf numFmtId="2" fontId="0" fillId="0" borderId="77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4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0" fillId="0" borderId="64" xfId="0" applyFont="1" applyBorder="1" applyAlignment="1">
      <alignment/>
    </xf>
    <xf numFmtId="2" fontId="3" fillId="0" borderId="70" xfId="0" applyNumberFormat="1" applyFont="1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0" fillId="0" borderId="28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3" fillId="0" borderId="8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19">
      <selection activeCell="H30" sqref="H30"/>
    </sheetView>
  </sheetViews>
  <sheetFormatPr defaultColWidth="9.140625" defaultRowHeight="12.75"/>
  <cols>
    <col min="1" max="1" width="2.00390625" style="73" customWidth="1"/>
    <col min="2" max="2" width="38.57421875" style="73" customWidth="1"/>
    <col min="3" max="3" width="13.57421875" style="73" customWidth="1"/>
    <col min="4" max="4" width="12.7109375" style="73" hidden="1" customWidth="1"/>
    <col min="5" max="5" width="16.7109375" style="73" customWidth="1"/>
    <col min="6" max="6" width="12.7109375" style="73" hidden="1" customWidth="1"/>
    <col min="7" max="7" width="17.421875" style="73" customWidth="1"/>
    <col min="8" max="8" width="10.140625" style="73" bestFit="1" customWidth="1"/>
    <col min="9" max="9" width="11.57421875" style="73" bestFit="1" customWidth="1"/>
    <col min="10" max="16384" width="9.140625" style="73" customWidth="1"/>
  </cols>
  <sheetData>
    <row r="2" spans="2:7" ht="18">
      <c r="B2" s="263" t="s">
        <v>826</v>
      </c>
      <c r="C2" s="263"/>
      <c r="D2" s="263"/>
      <c r="E2" s="263"/>
      <c r="F2" s="263"/>
      <c r="G2" s="263"/>
    </row>
    <row r="3" spans="2:7" ht="15.75">
      <c r="B3" s="264" t="s">
        <v>31</v>
      </c>
      <c r="C3" s="264"/>
      <c r="D3" s="264"/>
      <c r="E3" s="264"/>
      <c r="F3" s="264"/>
      <c r="G3" s="264"/>
    </row>
    <row r="4" spans="2:7" ht="15.75">
      <c r="B4" s="191"/>
      <c r="C4" s="191"/>
      <c r="D4" s="191"/>
      <c r="E4" s="191"/>
      <c r="F4" s="191"/>
      <c r="G4" s="191"/>
    </row>
    <row r="5" spans="2:7" ht="15.75">
      <c r="B5" s="265" t="s">
        <v>661</v>
      </c>
      <c r="C5" s="265"/>
      <c r="D5" s="265"/>
      <c r="E5" s="265"/>
      <c r="F5" s="265"/>
      <c r="G5" s="265"/>
    </row>
    <row r="6" ht="16.5" thickBot="1">
      <c r="C6" s="3"/>
    </row>
    <row r="7" spans="2:7" ht="12.75">
      <c r="B7" s="4"/>
      <c r="C7" s="5" t="s">
        <v>0</v>
      </c>
      <c r="D7" s="6"/>
      <c r="E7" s="7" t="s">
        <v>406</v>
      </c>
      <c r="F7" s="8"/>
      <c r="G7" s="9" t="s">
        <v>32</v>
      </c>
    </row>
    <row r="8" spans="2:7" ht="13.5" thickBot="1">
      <c r="B8" s="10"/>
      <c r="C8" s="11"/>
      <c r="D8" s="12" t="s">
        <v>1</v>
      </c>
      <c r="E8" s="13" t="s">
        <v>1</v>
      </c>
      <c r="F8" s="13" t="s">
        <v>1</v>
      </c>
      <c r="G8" s="14" t="s">
        <v>1</v>
      </c>
    </row>
    <row r="9" spans="2:7" ht="12.75">
      <c r="B9" s="44" t="s">
        <v>190</v>
      </c>
      <c r="C9" s="181"/>
      <c r="D9" s="212"/>
      <c r="E9" s="64"/>
      <c r="F9" s="199"/>
      <c r="G9" s="102"/>
    </row>
    <row r="10" spans="2:7" ht="12.75">
      <c r="B10" s="17" t="s">
        <v>2</v>
      </c>
      <c r="C10" s="16"/>
      <c r="D10" s="178"/>
      <c r="E10" s="178"/>
      <c r="F10" s="178"/>
      <c r="G10" s="213"/>
    </row>
    <row r="11" spans="2:7" ht="12.75">
      <c r="B11" s="17" t="s">
        <v>838</v>
      </c>
      <c r="C11" s="18">
        <v>1</v>
      </c>
      <c r="D11" s="178"/>
      <c r="E11" s="57">
        <f>Schedule!E12</f>
        <v>7462074.169999998</v>
      </c>
      <c r="F11" s="178"/>
      <c r="G11" s="214">
        <f>Schedule!G12</f>
        <v>8297959.6899999995</v>
      </c>
    </row>
    <row r="12" spans="2:7" ht="12.75">
      <c r="B12" s="17" t="s">
        <v>46</v>
      </c>
      <c r="C12" s="215">
        <v>2</v>
      </c>
      <c r="D12" s="178"/>
      <c r="E12" s="177">
        <f>Schedule!E19</f>
        <v>282294</v>
      </c>
      <c r="F12" s="178"/>
      <c r="G12" s="214">
        <f>Schedule!G19</f>
        <v>282294</v>
      </c>
    </row>
    <row r="13" spans="2:7" ht="12.75">
      <c r="B13" s="207" t="s">
        <v>839</v>
      </c>
      <c r="C13" s="215">
        <v>3</v>
      </c>
      <c r="D13" s="216"/>
      <c r="E13" s="177">
        <f>Schedule!E24</f>
        <v>1755170</v>
      </c>
      <c r="F13" s="178"/>
      <c r="G13" s="217"/>
    </row>
    <row r="14" spans="2:8" ht="13.5" thickBot="1">
      <c r="B14" s="62"/>
      <c r="C14" s="131"/>
      <c r="D14" s="218"/>
      <c r="E14" s="21">
        <f>E11+E12+E13</f>
        <v>9499538.169999998</v>
      </c>
      <c r="F14" s="20"/>
      <c r="G14" s="67">
        <f>G11+G12</f>
        <v>8580253.69</v>
      </c>
      <c r="H14" s="219"/>
    </row>
    <row r="15" spans="2:8" ht="12.75">
      <c r="B15" s="190"/>
      <c r="C15" s="57"/>
      <c r="D15" s="152"/>
      <c r="E15" s="192"/>
      <c r="F15" s="20"/>
      <c r="G15" s="109"/>
      <c r="H15" s="219"/>
    </row>
    <row r="16" spans="2:7" ht="12.75">
      <c r="B16" s="17" t="s">
        <v>3</v>
      </c>
      <c r="C16" s="19"/>
      <c r="D16" s="220"/>
      <c r="E16" s="220"/>
      <c r="F16" s="20"/>
      <c r="G16" s="55"/>
    </row>
    <row r="17" spans="2:7" ht="13.5" thickBot="1">
      <c r="B17" s="206" t="s">
        <v>4</v>
      </c>
      <c r="C17" s="221">
        <v>4</v>
      </c>
      <c r="D17" s="57"/>
      <c r="E17" s="54">
        <f>Schedule!E29</f>
        <v>2455675.8</v>
      </c>
      <c r="F17" s="20"/>
      <c r="G17" s="222">
        <f>Schedule!G29</f>
        <v>66808.9</v>
      </c>
    </row>
    <row r="18" spans="2:7" ht="14.25" thickBot="1" thickTop="1">
      <c r="B18" s="223"/>
      <c r="C18" s="57"/>
      <c r="D18" s="181"/>
      <c r="E18" s="106">
        <f>E17</f>
        <v>2455675.8</v>
      </c>
      <c r="F18" s="51"/>
      <c r="G18" s="105">
        <f>G17</f>
        <v>66808.9</v>
      </c>
    </row>
    <row r="19" spans="2:9" ht="13.5" thickBot="1">
      <c r="B19" s="194" t="s">
        <v>95</v>
      </c>
      <c r="C19" s="57"/>
      <c r="D19" s="181"/>
      <c r="E19" s="107">
        <f>E14+E18</f>
        <v>11955213.969999999</v>
      </c>
      <c r="F19" s="64"/>
      <c r="G19" s="132">
        <f>G14+G18</f>
        <v>8647062.59</v>
      </c>
      <c r="I19" s="75"/>
    </row>
    <row r="20" spans="2:7" ht="13.5" thickTop="1">
      <c r="B20" s="223"/>
      <c r="C20" s="57"/>
      <c r="D20" s="181"/>
      <c r="E20" s="192"/>
      <c r="F20" s="64"/>
      <c r="G20" s="37"/>
    </row>
    <row r="21" spans="2:7" ht="12.75">
      <c r="B21" s="15" t="s">
        <v>5</v>
      </c>
      <c r="C21" s="57"/>
      <c r="D21" s="20"/>
      <c r="E21" s="181"/>
      <c r="F21" s="181"/>
      <c r="G21" s="224"/>
    </row>
    <row r="22" spans="2:7" ht="12.75">
      <c r="B22" s="17" t="s">
        <v>6</v>
      </c>
      <c r="C22" s="18">
        <v>5</v>
      </c>
      <c r="D22" s="20"/>
      <c r="E22" s="152">
        <f>Schedule!E47</f>
        <v>8295851</v>
      </c>
      <c r="F22" s="50"/>
      <c r="G22" s="55">
        <f>Schedule!G47</f>
        <v>3641296</v>
      </c>
    </row>
    <row r="23" spans="2:7" ht="12.75">
      <c r="B23" s="223"/>
      <c r="C23" s="57"/>
      <c r="D23" s="177"/>
      <c r="E23" s="57"/>
      <c r="F23" s="20"/>
      <c r="G23" s="214"/>
    </row>
    <row r="24" spans="2:7" ht="12.75">
      <c r="B24" s="17" t="s">
        <v>7</v>
      </c>
      <c r="C24" s="23"/>
      <c r="D24" s="22"/>
      <c r="E24" s="22"/>
      <c r="F24" s="20"/>
      <c r="G24" s="214"/>
    </row>
    <row r="25" spans="2:7" ht="12.75">
      <c r="B25" s="17"/>
      <c r="C25" s="23"/>
      <c r="D25" s="22"/>
      <c r="E25" s="22"/>
      <c r="F25" s="20"/>
      <c r="G25" s="214"/>
    </row>
    <row r="26" spans="2:7" ht="12.75">
      <c r="B26" s="15" t="s">
        <v>8</v>
      </c>
      <c r="C26" s="215">
        <v>6</v>
      </c>
      <c r="D26" s="57"/>
      <c r="E26" s="57">
        <f>Schedule!E49</f>
        <v>77827.33</v>
      </c>
      <c r="F26" s="20"/>
      <c r="G26" s="225">
        <f>Schedule!G49</f>
        <v>50218.96</v>
      </c>
    </row>
    <row r="27" spans="2:7" ht="12.75">
      <c r="B27" s="15" t="s">
        <v>9</v>
      </c>
      <c r="C27" s="215">
        <v>7</v>
      </c>
      <c r="D27" s="177"/>
      <c r="E27" s="57">
        <f>Schedule!E55</f>
        <v>102362.83</v>
      </c>
      <c r="F27" s="20"/>
      <c r="G27" s="225">
        <f>Schedule!G55</f>
        <v>98733.83</v>
      </c>
    </row>
    <row r="28" spans="2:7" ht="12.75">
      <c r="B28" s="15" t="s">
        <v>10</v>
      </c>
      <c r="C28" s="215">
        <v>8</v>
      </c>
      <c r="D28" s="177"/>
      <c r="E28" s="57">
        <f>Schedule!E67</f>
        <v>3410367.43</v>
      </c>
      <c r="F28" s="20"/>
      <c r="G28" s="225">
        <f>Schedule!G67</f>
        <v>4919681.35</v>
      </c>
    </row>
    <row r="29" spans="2:7" ht="12.75">
      <c r="B29" s="15" t="s">
        <v>11</v>
      </c>
      <c r="C29" s="215">
        <v>9</v>
      </c>
      <c r="D29" s="177"/>
      <c r="E29" s="177">
        <f>Schedule!E70</f>
        <v>284602</v>
      </c>
      <c r="F29" s="226"/>
      <c r="G29" s="227">
        <f>Schedule!G70</f>
        <v>1980570.65</v>
      </c>
    </row>
    <row r="30" spans="2:7" ht="12.75">
      <c r="B30" s="206" t="s">
        <v>12</v>
      </c>
      <c r="C30" s="215">
        <v>10</v>
      </c>
      <c r="D30" s="228"/>
      <c r="E30" s="57">
        <f>Schedule!E88</f>
        <v>166275.38</v>
      </c>
      <c r="F30" s="229"/>
      <c r="G30" s="222">
        <f>Schedule!G88</f>
        <v>684191.45</v>
      </c>
    </row>
    <row r="31" spans="2:7" ht="13.5" thickBot="1">
      <c r="B31" s="190"/>
      <c r="C31" s="215"/>
      <c r="D31" s="228"/>
      <c r="E31" s="63">
        <f>E26+E27+E28+E29+E30</f>
        <v>4041434.97</v>
      </c>
      <c r="F31" s="56"/>
      <c r="G31" s="71">
        <f>G26+G27+G28+G29+G30</f>
        <v>7733396.239999999</v>
      </c>
    </row>
    <row r="32" spans="2:7" ht="13.5" thickTop="1">
      <c r="B32" s="190"/>
      <c r="C32" s="57"/>
      <c r="D32" s="19"/>
      <c r="E32" s="230"/>
      <c r="F32" s="70"/>
      <c r="G32" s="231"/>
    </row>
    <row r="33" spans="2:7" ht="12.75">
      <c r="B33" s="17" t="s">
        <v>13</v>
      </c>
      <c r="C33" s="23"/>
      <c r="D33" s="49"/>
      <c r="E33" s="232"/>
      <c r="F33" s="69"/>
      <c r="G33" s="233"/>
    </row>
    <row r="34" spans="2:7" ht="12.75">
      <c r="B34" s="15" t="s">
        <v>14</v>
      </c>
      <c r="C34" s="215">
        <v>11</v>
      </c>
      <c r="D34" s="177"/>
      <c r="E34" s="152">
        <f>Schedule!E97</f>
        <v>382072</v>
      </c>
      <c r="F34" s="20"/>
      <c r="G34" s="222">
        <f>Schedule!G97</f>
        <v>2772668.65</v>
      </c>
    </row>
    <row r="35" spans="2:7" ht="13.5" thickBot="1">
      <c r="B35" s="15" t="s">
        <v>76</v>
      </c>
      <c r="C35" s="57"/>
      <c r="D35" s="57"/>
      <c r="E35" s="54">
        <f>E34</f>
        <v>382072</v>
      </c>
      <c r="F35" s="57"/>
      <c r="G35" s="67">
        <f>G34</f>
        <v>2772668.65</v>
      </c>
    </row>
    <row r="36" spans="2:7" ht="13.5" thickTop="1">
      <c r="B36" s="190"/>
      <c r="C36" s="215"/>
      <c r="D36" s="57"/>
      <c r="E36" s="181"/>
      <c r="F36" s="20"/>
      <c r="G36" s="234"/>
    </row>
    <row r="37" spans="2:7" ht="12.75">
      <c r="B37" s="207" t="s">
        <v>15</v>
      </c>
      <c r="C37" s="215"/>
      <c r="D37" s="57"/>
      <c r="E37" s="235">
        <f>E31-E35</f>
        <v>3659362.97</v>
      </c>
      <c r="F37" s="20"/>
      <c r="G37" s="55">
        <f>G31-G35</f>
        <v>4960727.59</v>
      </c>
    </row>
    <row r="38" spans="2:7" ht="12.75">
      <c r="B38" s="223"/>
      <c r="C38" s="57"/>
      <c r="D38" s="19"/>
      <c r="E38" s="177"/>
      <c r="F38" s="24"/>
      <c r="G38" s="48"/>
    </row>
    <row r="39" spans="2:7" ht="12.75">
      <c r="B39" s="223"/>
      <c r="C39" s="57"/>
      <c r="D39" s="57"/>
      <c r="E39" s="57"/>
      <c r="F39" s="178"/>
      <c r="G39" s="222"/>
    </row>
    <row r="40" spans="2:7" ht="13.5" thickBot="1">
      <c r="B40" s="195" t="s">
        <v>15</v>
      </c>
      <c r="C40" s="236"/>
      <c r="D40" s="236"/>
      <c r="E40" s="21">
        <f>E22+E31-E35</f>
        <v>11955213.97</v>
      </c>
      <c r="F40" s="63"/>
      <c r="G40" s="193">
        <f>G22+G31-G35</f>
        <v>8602023.589999998</v>
      </c>
    </row>
    <row r="41" spans="2:7" ht="12.75">
      <c r="B41" s="198"/>
      <c r="C41" s="131"/>
      <c r="D41" s="131"/>
      <c r="E41" s="197"/>
      <c r="F41" s="237"/>
      <c r="G41" s="197"/>
    </row>
    <row r="42" spans="2:7" ht="12.75">
      <c r="B42" s="198"/>
      <c r="C42" s="131"/>
      <c r="D42" s="131"/>
      <c r="E42" s="197"/>
      <c r="F42" s="237"/>
      <c r="G42" s="197"/>
    </row>
    <row r="43" spans="2:7" ht="12.75">
      <c r="B43" s="131"/>
      <c r="C43" s="131"/>
      <c r="D43" s="52"/>
      <c r="E43" s="25"/>
      <c r="F43" s="52"/>
      <c r="G43" s="52"/>
    </row>
    <row r="44" spans="2:7" ht="12.75">
      <c r="B44" s="73" t="s">
        <v>16</v>
      </c>
      <c r="E44" s="262" t="s">
        <v>826</v>
      </c>
      <c r="F44" s="262"/>
      <c r="G44" s="262"/>
    </row>
    <row r="45" spans="2:7" ht="12.75">
      <c r="B45" s="73" t="s">
        <v>375</v>
      </c>
      <c r="E45" s="27"/>
      <c r="F45" s="27"/>
      <c r="G45" s="27"/>
    </row>
    <row r="46" spans="5:7" ht="12.75">
      <c r="E46" s="27"/>
      <c r="F46" s="27"/>
      <c r="G46" s="27"/>
    </row>
    <row r="47" spans="5:7" ht="12.75">
      <c r="E47" s="27"/>
      <c r="F47" s="204"/>
      <c r="G47" s="204" t="s">
        <v>834</v>
      </c>
    </row>
    <row r="48" spans="5:7" ht="12.75">
      <c r="E48" s="27"/>
      <c r="F48" s="27"/>
      <c r="G48" s="27"/>
    </row>
    <row r="49" spans="1:7" ht="12.75">
      <c r="A49" s="73" t="s">
        <v>17</v>
      </c>
      <c r="E49" s="262" t="s">
        <v>826</v>
      </c>
      <c r="F49" s="262"/>
      <c r="G49" s="262"/>
    </row>
    <row r="50" spans="1:7" ht="12.75">
      <c r="A50" s="73" t="s">
        <v>827</v>
      </c>
      <c r="B50" s="163" t="s">
        <v>831</v>
      </c>
      <c r="E50" s="27"/>
      <c r="F50" s="27"/>
      <c r="G50" s="27"/>
    </row>
    <row r="51" spans="1:7" ht="12.75">
      <c r="A51" s="73" t="s">
        <v>19</v>
      </c>
      <c r="B51" s="163" t="s">
        <v>832</v>
      </c>
      <c r="E51" s="27"/>
      <c r="F51" s="27"/>
      <c r="G51" s="27"/>
    </row>
    <row r="52" spans="5:7" ht="12.75">
      <c r="E52" s="27"/>
      <c r="F52" s="27"/>
      <c r="G52" s="27" t="s">
        <v>835</v>
      </c>
    </row>
    <row r="53" spans="5:7" ht="12.75">
      <c r="E53" s="27"/>
      <c r="F53" s="27"/>
      <c r="G53" s="27"/>
    </row>
    <row r="54" spans="2:7" ht="12.75">
      <c r="B54" s="26" t="s">
        <v>828</v>
      </c>
      <c r="E54" s="262" t="s">
        <v>826</v>
      </c>
      <c r="F54" s="262"/>
      <c r="G54" s="262"/>
    </row>
    <row r="55" spans="2:7" ht="12.75">
      <c r="B55" s="163" t="s">
        <v>830</v>
      </c>
      <c r="E55" s="27"/>
      <c r="F55" s="27"/>
      <c r="G55" s="27"/>
    </row>
    <row r="56" spans="2:7" ht="12.75">
      <c r="B56" s="163" t="s">
        <v>829</v>
      </c>
      <c r="E56" s="27"/>
      <c r="F56" s="27"/>
      <c r="G56" s="27"/>
    </row>
    <row r="57" spans="5:7" ht="12.75">
      <c r="E57" s="27"/>
      <c r="F57" s="27"/>
      <c r="G57" s="27" t="s">
        <v>836</v>
      </c>
    </row>
  </sheetData>
  <sheetProtection/>
  <mergeCells count="6">
    <mergeCell ref="E49:G49"/>
    <mergeCell ref="E54:G54"/>
    <mergeCell ref="B2:G2"/>
    <mergeCell ref="B3:G3"/>
    <mergeCell ref="B5:G5"/>
    <mergeCell ref="E44:G44"/>
  </mergeCells>
  <printOptions/>
  <pageMargins left="0.5511811023622047" right="0.07874015748031496" top="0.984251968503937" bottom="0.4724409448818898" header="0.5118110236220472" footer="0.5118110236220472"/>
  <pageSetup fitToHeight="1" fitToWidth="1" horizontalDpi="120" verticalDpi="120" orientation="portrait" paperSize="9" scale="91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1"/>
  <sheetViews>
    <sheetView tabSelected="1" zoomScalePageLayoutView="0" workbookViewId="0" topLeftCell="C1">
      <selection activeCell="C42" sqref="C42"/>
    </sheetView>
  </sheetViews>
  <sheetFormatPr defaultColWidth="9.140625" defaultRowHeight="12.75"/>
  <cols>
    <col min="1" max="1" width="2.421875" style="73" customWidth="1"/>
    <col min="2" max="2" width="3.57421875" style="73" customWidth="1"/>
    <col min="3" max="3" width="41.421875" style="73" customWidth="1"/>
    <col min="4" max="4" width="9.8515625" style="73" customWidth="1"/>
    <col min="5" max="5" width="12.28125" style="73" customWidth="1"/>
    <col min="6" max="6" width="15.28125" style="73" customWidth="1"/>
    <col min="7" max="7" width="12.140625" style="73" customWidth="1"/>
    <col min="8" max="8" width="14.00390625" style="73" customWidth="1"/>
    <col min="9" max="9" width="9.57421875" style="73" bestFit="1" customWidth="1"/>
    <col min="10" max="16384" width="9.140625" style="73" customWidth="1"/>
  </cols>
  <sheetData>
    <row r="1" spans="2:8" ht="18">
      <c r="B1" s="266" t="s">
        <v>826</v>
      </c>
      <c r="C1" s="266"/>
      <c r="D1" s="266"/>
      <c r="E1" s="266"/>
      <c r="F1" s="266"/>
      <c r="G1" s="266"/>
      <c r="H1" s="1"/>
    </row>
    <row r="2" spans="2:8" ht="15.75">
      <c r="B2" s="265" t="s">
        <v>31</v>
      </c>
      <c r="C2" s="265"/>
      <c r="D2" s="265"/>
      <c r="E2" s="265"/>
      <c r="F2" s="265"/>
      <c r="G2" s="265"/>
      <c r="H2" s="2"/>
    </row>
    <row r="3" spans="2:8" ht="15.75">
      <c r="B3" s="265" t="s">
        <v>405</v>
      </c>
      <c r="C3" s="265"/>
      <c r="D3" s="265"/>
      <c r="E3" s="265"/>
      <c r="F3" s="265"/>
      <c r="G3" s="265"/>
      <c r="H3" s="265"/>
    </row>
    <row r="4" spans="3:8" ht="12.75">
      <c r="C4" s="27"/>
      <c r="D4" s="26"/>
      <c r="E4" s="27"/>
      <c r="F4" s="27"/>
      <c r="G4" s="27"/>
      <c r="H4" s="27"/>
    </row>
    <row r="5" spans="3:8" ht="13.5" thickBot="1">
      <c r="C5" s="28"/>
      <c r="D5" s="28"/>
      <c r="E5" s="28"/>
      <c r="F5" s="28"/>
      <c r="G5" s="28"/>
      <c r="H5" s="28"/>
    </row>
    <row r="6" spans="2:8" ht="12.75">
      <c r="B6" s="154"/>
      <c r="C6" s="154"/>
      <c r="D6" s="5" t="s">
        <v>0</v>
      </c>
      <c r="E6" s="29"/>
      <c r="F6" s="30" t="s">
        <v>589</v>
      </c>
      <c r="G6" s="7"/>
      <c r="H6" s="31" t="s">
        <v>124</v>
      </c>
    </row>
    <row r="7" spans="2:8" ht="13.5" thickBot="1">
      <c r="B7" s="134"/>
      <c r="C7" s="210" t="s">
        <v>849</v>
      </c>
      <c r="D7" s="32"/>
      <c r="E7" s="13" t="s">
        <v>1</v>
      </c>
      <c r="F7" s="33" t="s">
        <v>1</v>
      </c>
      <c r="G7" s="11" t="s">
        <v>1</v>
      </c>
      <c r="H7" s="14" t="s">
        <v>1</v>
      </c>
    </row>
    <row r="8" spans="2:8" ht="13.5" thickTop="1">
      <c r="B8" s="62"/>
      <c r="C8" s="201"/>
      <c r="D8" s="158"/>
      <c r="E8" s="153"/>
      <c r="F8" s="97"/>
      <c r="G8" s="91"/>
      <c r="H8" s="138"/>
    </row>
    <row r="9" spans="2:8" ht="12.75">
      <c r="B9" s="62"/>
      <c r="C9" s="44" t="s">
        <v>34</v>
      </c>
      <c r="D9" s="150"/>
      <c r="E9" s="152"/>
      <c r="F9" s="109"/>
      <c r="G9" s="52"/>
      <c r="H9" s="58"/>
    </row>
    <row r="10" spans="2:8" ht="12.75">
      <c r="B10" s="62" t="s">
        <v>35</v>
      </c>
      <c r="C10" s="62" t="s">
        <v>36</v>
      </c>
      <c r="D10" s="150">
        <v>14</v>
      </c>
      <c r="E10" s="152">
        <f>Schedule!E184</f>
        <v>2902150.3</v>
      </c>
      <c r="F10" s="112"/>
      <c r="G10" s="52">
        <f>Schedule!G184+1229.5</f>
        <v>2835456.1</v>
      </c>
      <c r="H10" s="60"/>
    </row>
    <row r="11" spans="2:8" ht="12.75">
      <c r="B11" s="62" t="s">
        <v>37</v>
      </c>
      <c r="C11" s="95" t="s">
        <v>38</v>
      </c>
      <c r="D11" s="150">
        <v>15</v>
      </c>
      <c r="E11" s="153">
        <f>Schedule!E192</f>
        <v>912923.76</v>
      </c>
      <c r="F11" s="112"/>
      <c r="G11" s="52">
        <f>Schedule!G192</f>
        <v>1006851.24</v>
      </c>
      <c r="H11" s="60"/>
    </row>
    <row r="12" spans="2:8" ht="12.75">
      <c r="B12" s="62" t="s">
        <v>39</v>
      </c>
      <c r="C12" s="95" t="s">
        <v>105</v>
      </c>
      <c r="D12" s="150">
        <v>16</v>
      </c>
      <c r="E12" s="152">
        <f>Schedule!E199</f>
        <v>5510005.8</v>
      </c>
      <c r="F12" s="109"/>
      <c r="G12" s="52">
        <f>Schedule!G199</f>
        <v>2532911.95</v>
      </c>
      <c r="H12" s="58"/>
    </row>
    <row r="13" spans="2:8" ht="12.75">
      <c r="B13" s="62" t="s">
        <v>43</v>
      </c>
      <c r="C13" s="95" t="s">
        <v>106</v>
      </c>
      <c r="D13" s="150">
        <v>17</v>
      </c>
      <c r="E13" s="52">
        <f>Schedule!E214</f>
        <v>424193</v>
      </c>
      <c r="F13" s="131"/>
      <c r="G13" s="52">
        <f>Schedule!G214</f>
        <v>241065</v>
      </c>
      <c r="H13" s="97"/>
    </row>
    <row r="14" spans="2:8" ht="12.75">
      <c r="B14" s="62"/>
      <c r="C14" s="95" t="s">
        <v>737</v>
      </c>
      <c r="D14" s="150">
        <v>12</v>
      </c>
      <c r="E14" s="152">
        <f>Schedule!E104</f>
        <v>1341842.5299999998</v>
      </c>
      <c r="F14" s="109">
        <f>SUM(E10:E14)</f>
        <v>11091115.389999999</v>
      </c>
      <c r="G14" s="52">
        <v>1069853.35</v>
      </c>
      <c r="H14" s="88">
        <f>SUM(G10:G14)</f>
        <v>7686137.640000001</v>
      </c>
    </row>
    <row r="15" spans="2:8" ht="13.5" thickBot="1">
      <c r="B15" s="62"/>
      <c r="C15" s="202" t="s">
        <v>103</v>
      </c>
      <c r="D15" s="150"/>
      <c r="E15" s="152"/>
      <c r="F15" s="125">
        <f>F14</f>
        <v>11091115.389999999</v>
      </c>
      <c r="G15" s="52"/>
      <c r="H15" s="61">
        <f>H14</f>
        <v>7686137.640000001</v>
      </c>
    </row>
    <row r="16" spans="2:8" ht="13.5" thickTop="1">
      <c r="B16" s="62"/>
      <c r="C16" s="95"/>
      <c r="D16" s="150"/>
      <c r="E16" s="152"/>
      <c r="F16" s="109"/>
      <c r="G16" s="159"/>
      <c r="H16" s="58"/>
    </row>
    <row r="17" spans="2:9" ht="12.75">
      <c r="B17" s="62"/>
      <c r="C17" s="200" t="s">
        <v>33</v>
      </c>
      <c r="D17" s="160"/>
      <c r="E17" s="152"/>
      <c r="F17" s="109"/>
      <c r="G17" s="159"/>
      <c r="H17" s="58"/>
      <c r="I17" s="75"/>
    </row>
    <row r="18" spans="2:8" ht="12.75">
      <c r="B18" s="62" t="s">
        <v>35</v>
      </c>
      <c r="C18" s="95" t="s">
        <v>40</v>
      </c>
      <c r="D18" s="160">
        <v>18</v>
      </c>
      <c r="E18" s="152">
        <f>Schedule!E229</f>
        <v>3066944.4</v>
      </c>
      <c r="F18" s="109"/>
      <c r="G18" s="159">
        <f>Schedule!G229</f>
        <v>2311983.9</v>
      </c>
      <c r="H18" s="58"/>
    </row>
    <row r="19" spans="2:8" ht="12.75">
      <c r="B19" s="62" t="s">
        <v>37</v>
      </c>
      <c r="C19" s="95" t="s">
        <v>41</v>
      </c>
      <c r="D19" s="160">
        <v>19</v>
      </c>
      <c r="E19" s="152">
        <f>Schedule!E234</f>
        <v>1078413.5</v>
      </c>
      <c r="F19" s="109"/>
      <c r="G19" s="159">
        <f>Schedule!G234</f>
        <v>733860.95</v>
      </c>
      <c r="H19" s="58"/>
    </row>
    <row r="20" spans="2:8" ht="12.75">
      <c r="B20" s="62" t="s">
        <v>39</v>
      </c>
      <c r="C20" s="95" t="s">
        <v>42</v>
      </c>
      <c r="D20" s="160">
        <v>20</v>
      </c>
      <c r="E20" s="152">
        <f>Schedule!E245-1</f>
        <v>5998104.28</v>
      </c>
      <c r="F20" s="109"/>
      <c r="G20" s="91">
        <f>Schedule!G245</f>
        <v>3642696.8500000006</v>
      </c>
      <c r="H20" s="58"/>
    </row>
    <row r="21" spans="2:8" ht="12.75">
      <c r="B21" s="62"/>
      <c r="C21" s="95" t="s">
        <v>737</v>
      </c>
      <c r="D21" s="160">
        <v>13</v>
      </c>
      <c r="E21" s="152">
        <f>Schedule!E169</f>
        <v>1226933.73</v>
      </c>
      <c r="F21" s="109"/>
      <c r="G21" s="152">
        <f>Schedule!G169</f>
        <v>458579.08999999997</v>
      </c>
      <c r="H21" s="58"/>
    </row>
    <row r="22" spans="2:8" ht="12.75">
      <c r="B22" s="62" t="s">
        <v>43</v>
      </c>
      <c r="C22" s="95" t="s">
        <v>44</v>
      </c>
      <c r="D22" s="160">
        <v>5</v>
      </c>
      <c r="E22" s="152">
        <f>Schedule!E37+Schedule!E44</f>
        <v>556605</v>
      </c>
      <c r="F22" s="97"/>
      <c r="G22" s="91">
        <f>Schedule!G37+Schedule!G44</f>
        <v>391019</v>
      </c>
      <c r="H22" s="87"/>
    </row>
    <row r="23" spans="2:8" ht="12.75">
      <c r="B23" s="62"/>
      <c r="C23" s="202" t="s">
        <v>104</v>
      </c>
      <c r="D23" s="150"/>
      <c r="E23" s="152"/>
      <c r="F23" s="109">
        <f>SUM(E18:E22)</f>
        <v>11927000.91</v>
      </c>
      <c r="G23" s="131"/>
      <c r="H23" s="58">
        <f>G18+G19+G20++G21+G22</f>
        <v>7538139.79</v>
      </c>
    </row>
    <row r="24" spans="2:8" ht="12.75">
      <c r="B24" s="62"/>
      <c r="C24" s="62"/>
      <c r="D24" s="150"/>
      <c r="E24" s="152"/>
      <c r="F24" s="109"/>
      <c r="G24" s="131"/>
      <c r="H24" s="58"/>
    </row>
    <row r="25" spans="2:8" ht="13.5" thickBot="1">
      <c r="B25" s="62"/>
      <c r="C25" s="200" t="s">
        <v>45</v>
      </c>
      <c r="D25" s="150"/>
      <c r="E25" s="152"/>
      <c r="F25" s="151">
        <f>F15-F23</f>
        <v>-835885.5200000014</v>
      </c>
      <c r="G25" s="131"/>
      <c r="H25" s="61">
        <f>H15-H23</f>
        <v>147997.85000000056</v>
      </c>
    </row>
    <row r="26" spans="2:8" ht="13.5" thickTop="1">
      <c r="B26" s="62"/>
      <c r="C26" s="62"/>
      <c r="D26" s="150"/>
      <c r="E26" s="152"/>
      <c r="F26" s="109"/>
      <c r="G26" s="131"/>
      <c r="H26" s="58"/>
    </row>
    <row r="27" spans="2:8" ht="13.5" thickBot="1">
      <c r="B27" s="134"/>
      <c r="C27" s="134"/>
      <c r="D27" s="161"/>
      <c r="E27" s="203"/>
      <c r="F27" s="110"/>
      <c r="G27" s="155"/>
      <c r="H27" s="156"/>
    </row>
    <row r="28" spans="3:8" ht="12.75">
      <c r="C28" s="131"/>
      <c r="D28" s="162"/>
      <c r="E28" s="52"/>
      <c r="F28" s="52"/>
      <c r="G28" s="52"/>
      <c r="H28" s="52"/>
    </row>
    <row r="29" spans="3:8" ht="12.75">
      <c r="C29" s="131"/>
      <c r="D29" s="162"/>
      <c r="E29" s="52"/>
      <c r="F29" s="52"/>
      <c r="G29" s="52"/>
      <c r="H29" s="52"/>
    </row>
    <row r="30" spans="3:8" ht="12.75">
      <c r="C30" s="73" t="s">
        <v>16</v>
      </c>
      <c r="F30" s="262" t="s">
        <v>826</v>
      </c>
      <c r="G30" s="262"/>
      <c r="H30" s="262"/>
    </row>
    <row r="31" spans="3:8" ht="12.75">
      <c r="C31" s="73" t="s">
        <v>18</v>
      </c>
      <c r="H31" s="52"/>
    </row>
    <row r="33" ht="12.75">
      <c r="G33" s="204" t="s">
        <v>834</v>
      </c>
    </row>
    <row r="34" ht="12.75">
      <c r="C34"/>
    </row>
    <row r="35" spans="3:8" ht="12.75">
      <c r="C35" s="196" t="s">
        <v>833</v>
      </c>
      <c r="F35" s="262" t="s">
        <v>826</v>
      </c>
      <c r="G35" s="262"/>
      <c r="H35" s="262"/>
    </row>
    <row r="36" spans="3:4" ht="12.75">
      <c r="C36" s="196" t="s">
        <v>831</v>
      </c>
      <c r="D36" s="163"/>
    </row>
    <row r="37" spans="3:4" ht="12.75">
      <c r="C37" s="196" t="s">
        <v>895</v>
      </c>
      <c r="D37" s="163"/>
    </row>
    <row r="38" spans="3:7" ht="12.75">
      <c r="C38"/>
      <c r="D38" s="163"/>
      <c r="G38" s="27" t="s">
        <v>835</v>
      </c>
    </row>
    <row r="39" spans="3:8" ht="12.75">
      <c r="C39"/>
      <c r="D39" s="163"/>
      <c r="G39" s="27"/>
      <c r="H39" s="27"/>
    </row>
    <row r="40" spans="3:8" ht="12.75">
      <c r="C40" s="26" t="s">
        <v>828</v>
      </c>
      <c r="D40" s="163"/>
      <c r="F40" s="262" t="s">
        <v>826</v>
      </c>
      <c r="G40" s="262"/>
      <c r="H40" s="262"/>
    </row>
    <row r="41" spans="3:8" ht="12.75">
      <c r="C41" s="196" t="s">
        <v>830</v>
      </c>
      <c r="D41" s="163"/>
      <c r="G41" s="27"/>
      <c r="H41" s="27"/>
    </row>
    <row r="42" spans="3:4" ht="12.75">
      <c r="C42" s="196" t="s">
        <v>829</v>
      </c>
      <c r="D42" s="163"/>
    </row>
    <row r="43" spans="4:7" ht="12.75">
      <c r="D43" s="163"/>
      <c r="G43" s="27" t="s">
        <v>836</v>
      </c>
    </row>
    <row r="44" spans="4:8" ht="12.75">
      <c r="D44" s="163"/>
      <c r="G44" s="27"/>
      <c r="H44" s="27"/>
    </row>
    <row r="45" spans="4:8" ht="12.75">
      <c r="D45" s="163"/>
      <c r="G45" s="27"/>
      <c r="H45" s="27"/>
    </row>
    <row r="46" spans="4:8" ht="12.75">
      <c r="D46" s="163"/>
      <c r="G46" s="27"/>
      <c r="H46" s="27"/>
    </row>
    <row r="47" ht="12.75">
      <c r="D47" s="163"/>
    </row>
    <row r="48" spans="4:8" ht="12.75">
      <c r="D48" s="163"/>
      <c r="G48" s="27"/>
      <c r="H48" s="27"/>
    </row>
    <row r="49" spans="4:8" ht="12.75">
      <c r="D49" s="163"/>
      <c r="G49" s="27"/>
      <c r="H49" s="27"/>
    </row>
    <row r="50" spans="4:8" ht="12.75">
      <c r="D50" s="163"/>
      <c r="G50" s="27"/>
      <c r="H50" s="27"/>
    </row>
    <row r="51" ht="12.75">
      <c r="D51" s="163"/>
    </row>
    <row r="52" ht="12.75">
      <c r="D52" s="163"/>
    </row>
    <row r="53" ht="12.75">
      <c r="D53" s="163"/>
    </row>
    <row r="54" ht="12.75">
      <c r="D54" s="163"/>
    </row>
    <row r="55" ht="12.75">
      <c r="D55" s="163"/>
    </row>
    <row r="56" ht="12.75">
      <c r="D56" s="163"/>
    </row>
    <row r="57" ht="12.75">
      <c r="D57" s="163"/>
    </row>
    <row r="58" ht="12.75">
      <c r="D58" s="163"/>
    </row>
    <row r="59" ht="12.75">
      <c r="D59" s="163"/>
    </row>
    <row r="60" ht="12.75">
      <c r="D60" s="163"/>
    </row>
    <row r="61" ht="12.75">
      <c r="D61" s="163"/>
    </row>
    <row r="62" ht="12.75">
      <c r="D62" s="163"/>
    </row>
    <row r="63" ht="12.75">
      <c r="D63" s="163"/>
    </row>
    <row r="64" ht="12.75">
      <c r="D64" s="163"/>
    </row>
    <row r="65" ht="12.75">
      <c r="D65" s="163"/>
    </row>
    <row r="66" ht="12.75">
      <c r="D66" s="163"/>
    </row>
    <row r="67" ht="12.75">
      <c r="D67" s="163"/>
    </row>
    <row r="68" ht="12.75">
      <c r="D68" s="163"/>
    </row>
    <row r="69" ht="12.75">
      <c r="D69" s="163"/>
    </row>
    <row r="70" ht="12.75">
      <c r="D70" s="163"/>
    </row>
    <row r="71" ht="12.75">
      <c r="D71" s="163"/>
    </row>
    <row r="72" ht="12.75">
      <c r="D72" s="163"/>
    </row>
    <row r="73" ht="12.75">
      <c r="D73" s="163"/>
    </row>
    <row r="74" ht="12.75">
      <c r="D74" s="163"/>
    </row>
    <row r="75" ht="12.75">
      <c r="D75" s="163"/>
    </row>
    <row r="76" ht="12.75">
      <c r="D76" s="163"/>
    </row>
    <row r="77" ht="12.75">
      <c r="D77" s="163"/>
    </row>
    <row r="78" ht="12.75">
      <c r="D78" s="163"/>
    </row>
    <row r="79" ht="12.75">
      <c r="D79" s="163"/>
    </row>
    <row r="80" ht="12.75">
      <c r="D80" s="163"/>
    </row>
    <row r="81" ht="12.75">
      <c r="D81" s="163"/>
    </row>
    <row r="82" ht="12.75">
      <c r="D82" s="163"/>
    </row>
    <row r="83" ht="12.75">
      <c r="D83" s="163"/>
    </row>
    <row r="84" ht="12.75">
      <c r="D84" s="163"/>
    </row>
    <row r="85" ht="12.75">
      <c r="D85" s="163"/>
    </row>
    <row r="86" ht="12.75">
      <c r="D86" s="163"/>
    </row>
    <row r="87" ht="12.75">
      <c r="D87" s="163"/>
    </row>
    <row r="88" ht="12.75">
      <c r="D88" s="163"/>
    </row>
    <row r="89" ht="12.75">
      <c r="D89" s="163"/>
    </row>
    <row r="90" ht="12.75">
      <c r="D90" s="163"/>
    </row>
    <row r="91" ht="12.75">
      <c r="D91" s="163"/>
    </row>
    <row r="92" ht="12.75">
      <c r="D92" s="163"/>
    </row>
    <row r="93" ht="12.75">
      <c r="D93" s="163"/>
    </row>
    <row r="94" ht="12.75">
      <c r="D94" s="163"/>
    </row>
    <row r="95" ht="12.75">
      <c r="D95" s="163"/>
    </row>
    <row r="96" ht="12.75">
      <c r="D96" s="163"/>
    </row>
    <row r="97" ht="12.75">
      <c r="D97" s="163"/>
    </row>
    <row r="98" ht="12.75">
      <c r="D98" s="163"/>
    </row>
    <row r="99" ht="12.75">
      <c r="D99" s="163"/>
    </row>
    <row r="100" ht="12.75">
      <c r="D100" s="163"/>
    </row>
    <row r="101" ht="12.75">
      <c r="D101" s="163"/>
    </row>
    <row r="102" ht="12.75">
      <c r="D102" s="163"/>
    </row>
    <row r="103" ht="12.75">
      <c r="D103" s="163"/>
    </row>
    <row r="104" ht="12.75">
      <c r="D104" s="163"/>
    </row>
    <row r="105" ht="12.75">
      <c r="D105" s="163"/>
    </row>
    <row r="106" ht="12.75">
      <c r="D106" s="163"/>
    </row>
    <row r="107" ht="12.75">
      <c r="D107" s="163"/>
    </row>
    <row r="108" ht="12.75">
      <c r="D108" s="163"/>
    </row>
    <row r="109" ht="12.75">
      <c r="D109" s="163"/>
    </row>
    <row r="110" ht="12.75">
      <c r="D110" s="163"/>
    </row>
    <row r="111" ht="12.75">
      <c r="D111" s="163"/>
    </row>
    <row r="112" ht="12.75">
      <c r="D112" s="163"/>
    </row>
    <row r="113" ht="12.75">
      <c r="D113" s="163"/>
    </row>
    <row r="114" ht="12.75">
      <c r="D114" s="163"/>
    </row>
    <row r="115" ht="12.75">
      <c r="D115" s="163"/>
    </row>
    <row r="116" ht="12.75">
      <c r="D116" s="163"/>
    </row>
    <row r="117" ht="12.75">
      <c r="D117" s="163"/>
    </row>
    <row r="118" ht="12.75">
      <c r="D118" s="163"/>
    </row>
    <row r="119" ht="12.75">
      <c r="D119" s="163"/>
    </row>
    <row r="120" ht="12.75">
      <c r="D120" s="163"/>
    </row>
    <row r="121" ht="12.75">
      <c r="D121" s="163"/>
    </row>
    <row r="122" ht="12.75">
      <c r="D122" s="163"/>
    </row>
    <row r="123" ht="12.75">
      <c r="D123" s="163"/>
    </row>
    <row r="124" ht="12.75">
      <c r="D124" s="163"/>
    </row>
    <row r="125" ht="12.75">
      <c r="D125" s="163"/>
    </row>
    <row r="126" ht="12.75">
      <c r="D126" s="163"/>
    </row>
    <row r="127" ht="12.75">
      <c r="D127" s="163"/>
    </row>
    <row r="128" ht="12.75">
      <c r="D128" s="163"/>
    </row>
    <row r="129" ht="12.75">
      <c r="D129" s="163"/>
    </row>
    <row r="130" ht="12.75">
      <c r="D130" s="163"/>
    </row>
    <row r="131" ht="12.75">
      <c r="D131" s="163"/>
    </row>
    <row r="132" ht="12.75">
      <c r="D132" s="163"/>
    </row>
    <row r="133" ht="12.75">
      <c r="D133" s="163"/>
    </row>
    <row r="134" ht="12.75">
      <c r="D134" s="163"/>
    </row>
    <row r="135" ht="12.75">
      <c r="D135" s="163"/>
    </row>
    <row r="136" ht="12.75">
      <c r="D136" s="163"/>
    </row>
    <row r="137" ht="12.75">
      <c r="D137" s="163"/>
    </row>
    <row r="138" ht="12.75">
      <c r="D138" s="163"/>
    </row>
    <row r="139" ht="12.75">
      <c r="D139" s="163"/>
    </row>
    <row r="140" ht="12.75">
      <c r="D140" s="163"/>
    </row>
    <row r="141" ht="12.75">
      <c r="D141" s="163"/>
    </row>
    <row r="142" ht="12.75">
      <c r="D142" s="163"/>
    </row>
    <row r="143" ht="12.75">
      <c r="D143" s="163"/>
    </row>
    <row r="144" ht="12.75">
      <c r="D144" s="163"/>
    </row>
    <row r="145" ht="12.75">
      <c r="D145" s="163"/>
    </row>
    <row r="146" ht="12.75">
      <c r="D146" s="163"/>
    </row>
    <row r="147" ht="12.75">
      <c r="D147" s="163"/>
    </row>
    <row r="148" ht="12.75">
      <c r="D148" s="163"/>
    </row>
    <row r="149" ht="12.75">
      <c r="D149" s="163"/>
    </row>
    <row r="150" ht="12.75">
      <c r="D150" s="163"/>
    </row>
    <row r="151" ht="12.75">
      <c r="D151" s="163"/>
    </row>
    <row r="152" ht="12.75">
      <c r="D152" s="163"/>
    </row>
    <row r="153" ht="12.75">
      <c r="D153" s="163"/>
    </row>
    <row r="154" ht="12.75">
      <c r="D154" s="163"/>
    </row>
    <row r="155" ht="12.75">
      <c r="D155" s="163"/>
    </row>
    <row r="156" ht="12.75">
      <c r="D156" s="163"/>
    </row>
    <row r="157" ht="12.75">
      <c r="D157" s="163"/>
    </row>
    <row r="158" ht="12.75">
      <c r="D158" s="163"/>
    </row>
    <row r="159" ht="12.75">
      <c r="D159" s="163"/>
    </row>
    <row r="160" ht="12.75">
      <c r="D160" s="163"/>
    </row>
    <row r="161" ht="12.75">
      <c r="D161" s="163"/>
    </row>
    <row r="162" ht="12.75">
      <c r="D162" s="163"/>
    </row>
    <row r="163" ht="12.75">
      <c r="D163" s="163"/>
    </row>
    <row r="164" ht="12.75">
      <c r="D164" s="163"/>
    </row>
    <row r="165" ht="12.75">
      <c r="D165" s="163"/>
    </row>
    <row r="166" ht="12.75">
      <c r="D166" s="163"/>
    </row>
    <row r="167" ht="12.75">
      <c r="D167" s="163"/>
    </row>
    <row r="168" ht="12.75">
      <c r="D168" s="163"/>
    </row>
    <row r="169" ht="12.75">
      <c r="D169" s="163"/>
    </row>
    <row r="170" ht="12.75">
      <c r="D170" s="163"/>
    </row>
    <row r="171" ht="12.75">
      <c r="D171" s="163"/>
    </row>
    <row r="172" ht="12.75">
      <c r="D172" s="163"/>
    </row>
    <row r="173" ht="12.75">
      <c r="D173" s="163"/>
    </row>
    <row r="174" ht="12.75">
      <c r="D174" s="163"/>
    </row>
    <row r="175" ht="12.75">
      <c r="D175" s="163"/>
    </row>
    <row r="176" ht="12.75">
      <c r="D176" s="163"/>
    </row>
    <row r="177" ht="12.75">
      <c r="D177" s="163"/>
    </row>
    <row r="178" ht="12.75">
      <c r="D178" s="163"/>
    </row>
    <row r="179" ht="12.75">
      <c r="D179" s="163"/>
    </row>
    <row r="180" ht="12.75">
      <c r="D180" s="163"/>
    </row>
    <row r="181" ht="12.75">
      <c r="D181" s="163"/>
    </row>
    <row r="182" ht="12.75">
      <c r="D182" s="163"/>
    </row>
    <row r="183" ht="12.75">
      <c r="D183" s="163"/>
    </row>
    <row r="184" ht="12.75">
      <c r="D184" s="163"/>
    </row>
    <row r="185" ht="12.75">
      <c r="D185" s="163"/>
    </row>
    <row r="186" ht="12.75">
      <c r="D186" s="163"/>
    </row>
    <row r="187" ht="12.75">
      <c r="D187" s="163"/>
    </row>
    <row r="188" ht="12.75">
      <c r="D188" s="163"/>
    </row>
    <row r="189" ht="12.75">
      <c r="D189" s="163"/>
    </row>
    <row r="190" ht="12.75">
      <c r="D190" s="163"/>
    </row>
    <row r="191" ht="12.75">
      <c r="D191" s="163"/>
    </row>
    <row r="192" ht="12.75">
      <c r="D192" s="163"/>
    </row>
    <row r="193" ht="12.75">
      <c r="D193" s="163"/>
    </row>
    <row r="194" ht="12.75">
      <c r="D194" s="163"/>
    </row>
    <row r="195" ht="12.75">
      <c r="D195" s="163"/>
    </row>
    <row r="196" ht="12.75">
      <c r="D196" s="163"/>
    </row>
    <row r="197" ht="12.75">
      <c r="D197" s="163"/>
    </row>
    <row r="198" ht="12.75">
      <c r="D198" s="163"/>
    </row>
    <row r="199" ht="12.75">
      <c r="D199" s="163"/>
    </row>
    <row r="200" ht="12.75">
      <c r="D200" s="163"/>
    </row>
    <row r="201" ht="12.75">
      <c r="D201" s="163"/>
    </row>
    <row r="202" ht="12.75">
      <c r="D202" s="163"/>
    </row>
    <row r="203" ht="12.75">
      <c r="D203" s="163"/>
    </row>
    <row r="204" ht="12.75">
      <c r="D204" s="163"/>
    </row>
    <row r="205" ht="12.75">
      <c r="D205" s="163"/>
    </row>
    <row r="206" ht="12.75">
      <c r="D206" s="163"/>
    </row>
    <row r="207" ht="12.75">
      <c r="D207" s="163"/>
    </row>
    <row r="208" ht="12.75">
      <c r="D208" s="163"/>
    </row>
    <row r="209" ht="12.75">
      <c r="D209" s="163"/>
    </row>
    <row r="210" ht="12.75">
      <c r="D210" s="163"/>
    </row>
    <row r="211" ht="12.75">
      <c r="D211" s="163"/>
    </row>
    <row r="212" ht="12.75">
      <c r="D212" s="163"/>
    </row>
    <row r="213" ht="12.75">
      <c r="D213" s="163"/>
    </row>
    <row r="214" ht="12.75">
      <c r="D214" s="163"/>
    </row>
    <row r="215" ht="12.75">
      <c r="D215" s="163"/>
    </row>
    <row r="216" ht="12.75">
      <c r="D216" s="163"/>
    </row>
    <row r="217" ht="12.75">
      <c r="D217" s="163"/>
    </row>
    <row r="218" ht="12.75">
      <c r="D218" s="163"/>
    </row>
    <row r="219" ht="12.75">
      <c r="D219" s="163"/>
    </row>
    <row r="220" ht="12.75">
      <c r="D220" s="163"/>
    </row>
    <row r="221" ht="12.75">
      <c r="D221" s="163"/>
    </row>
    <row r="222" ht="12.75">
      <c r="D222" s="163"/>
    </row>
    <row r="223" ht="12.75">
      <c r="D223" s="163"/>
    </row>
    <row r="224" ht="12.75">
      <c r="D224" s="163"/>
    </row>
    <row r="225" ht="12.75">
      <c r="D225" s="163"/>
    </row>
    <row r="226" ht="12.75">
      <c r="D226" s="163"/>
    </row>
    <row r="227" ht="12.75">
      <c r="D227" s="163"/>
    </row>
    <row r="228" ht="12.75">
      <c r="D228" s="163"/>
    </row>
    <row r="229" ht="12.75">
      <c r="D229" s="163"/>
    </row>
    <row r="230" ht="12.75">
      <c r="D230" s="163"/>
    </row>
    <row r="231" ht="12.75">
      <c r="D231" s="163"/>
    </row>
    <row r="232" ht="12.75">
      <c r="D232" s="163"/>
    </row>
    <row r="233" ht="12.75">
      <c r="D233" s="163"/>
    </row>
    <row r="234" ht="12.75">
      <c r="D234" s="163"/>
    </row>
    <row r="235" ht="12.75">
      <c r="D235" s="163"/>
    </row>
    <row r="236" ht="12.75">
      <c r="D236" s="163"/>
    </row>
    <row r="237" ht="12.75">
      <c r="D237" s="163"/>
    </row>
    <row r="238" ht="12.75">
      <c r="D238" s="163"/>
    </row>
    <row r="239" ht="12.75">
      <c r="D239" s="163"/>
    </row>
    <row r="240" ht="12.75">
      <c r="D240" s="163"/>
    </row>
    <row r="241" ht="12.75">
      <c r="D241" s="163"/>
    </row>
    <row r="242" ht="12.75">
      <c r="D242" s="163"/>
    </row>
    <row r="243" ht="12.75">
      <c r="D243" s="163"/>
    </row>
    <row r="244" ht="12.75">
      <c r="D244" s="163"/>
    </row>
    <row r="245" ht="12.75">
      <c r="D245" s="163"/>
    </row>
    <row r="246" ht="12.75">
      <c r="D246" s="163"/>
    </row>
    <row r="247" ht="12.75">
      <c r="D247" s="163"/>
    </row>
    <row r="248" ht="12.75">
      <c r="D248" s="163"/>
    </row>
    <row r="249" ht="12.75">
      <c r="D249" s="163"/>
    </row>
    <row r="250" ht="12.75">
      <c r="D250" s="163"/>
    </row>
    <row r="251" ht="12.75">
      <c r="D251" s="163"/>
    </row>
    <row r="252" ht="12.75">
      <c r="D252" s="163"/>
    </row>
    <row r="253" ht="12.75">
      <c r="D253" s="163"/>
    </row>
    <row r="254" ht="12.75">
      <c r="D254" s="163"/>
    </row>
    <row r="255" ht="12.75">
      <c r="D255" s="163"/>
    </row>
    <row r="256" ht="12.75">
      <c r="D256" s="163"/>
    </row>
    <row r="257" ht="12.75">
      <c r="D257" s="163"/>
    </row>
    <row r="258" ht="12.75">
      <c r="D258" s="163"/>
    </row>
    <row r="259" ht="12.75">
      <c r="D259" s="163"/>
    </row>
    <row r="260" ht="12.75">
      <c r="D260" s="163"/>
    </row>
    <row r="261" ht="12.75">
      <c r="D261" s="163"/>
    </row>
    <row r="262" ht="12.75">
      <c r="D262" s="163"/>
    </row>
    <row r="263" ht="12.75">
      <c r="D263" s="163"/>
    </row>
    <row r="264" ht="12.75">
      <c r="D264" s="163"/>
    </row>
    <row r="265" ht="12.75">
      <c r="D265" s="163"/>
    </row>
    <row r="266" ht="12.75">
      <c r="D266" s="163"/>
    </row>
    <row r="267" ht="12.75">
      <c r="D267" s="163"/>
    </row>
    <row r="268" ht="12.75">
      <c r="D268" s="163"/>
    </row>
    <row r="269" ht="12.75">
      <c r="D269" s="163"/>
    </row>
    <row r="270" ht="12.75">
      <c r="D270" s="163"/>
    </row>
    <row r="271" ht="12.75">
      <c r="D271" s="163"/>
    </row>
    <row r="272" ht="12.75">
      <c r="D272" s="163"/>
    </row>
    <row r="273" ht="12.75">
      <c r="D273" s="163"/>
    </row>
    <row r="274" ht="12.75">
      <c r="D274" s="163"/>
    </row>
    <row r="275" ht="12.75">
      <c r="D275" s="163"/>
    </row>
    <row r="276" ht="12.75">
      <c r="D276" s="163"/>
    </row>
    <row r="277" ht="12.75">
      <c r="D277" s="163"/>
    </row>
    <row r="278" ht="12.75">
      <c r="D278" s="163"/>
    </row>
    <row r="279" ht="12.75">
      <c r="D279" s="163"/>
    </row>
    <row r="280" ht="12.75">
      <c r="D280" s="163"/>
    </row>
    <row r="281" ht="12.75">
      <c r="D281" s="163"/>
    </row>
    <row r="282" ht="12.75">
      <c r="D282" s="163"/>
    </row>
    <row r="283" ht="12.75">
      <c r="D283" s="163"/>
    </row>
    <row r="284" ht="12.75">
      <c r="D284" s="163"/>
    </row>
    <row r="285" ht="12.75">
      <c r="D285" s="163"/>
    </row>
    <row r="286" ht="12.75">
      <c r="D286" s="163"/>
    </row>
    <row r="287" ht="12.75">
      <c r="D287" s="163"/>
    </row>
    <row r="288" ht="12.75">
      <c r="D288" s="163"/>
    </row>
    <row r="289" ht="12.75">
      <c r="D289" s="163"/>
    </row>
    <row r="290" ht="12.75">
      <c r="D290" s="163"/>
    </row>
    <row r="291" ht="12.75">
      <c r="D291" s="163"/>
    </row>
    <row r="292" ht="12.75">
      <c r="D292" s="163"/>
    </row>
    <row r="293" ht="12.75">
      <c r="D293" s="163"/>
    </row>
    <row r="294" ht="12.75">
      <c r="D294" s="163"/>
    </row>
    <row r="295" ht="12.75">
      <c r="D295" s="163"/>
    </row>
    <row r="296" ht="12.75">
      <c r="D296" s="163"/>
    </row>
    <row r="297" ht="12.75">
      <c r="D297" s="163"/>
    </row>
    <row r="298" ht="12.75">
      <c r="D298" s="163"/>
    </row>
    <row r="299" ht="12.75">
      <c r="D299" s="163"/>
    </row>
    <row r="300" ht="12.75">
      <c r="D300" s="163"/>
    </row>
    <row r="301" ht="12.75">
      <c r="D301" s="163"/>
    </row>
    <row r="302" ht="12.75">
      <c r="D302" s="163"/>
    </row>
    <row r="303" ht="12.75">
      <c r="D303" s="163"/>
    </row>
    <row r="304" ht="12.75">
      <c r="D304" s="163"/>
    </row>
    <row r="305" ht="12.75">
      <c r="D305" s="163"/>
    </row>
    <row r="306" ht="12.75">
      <c r="D306" s="163"/>
    </row>
    <row r="307" ht="12.75">
      <c r="D307" s="163"/>
    </row>
    <row r="308" ht="12.75">
      <c r="D308" s="163"/>
    </row>
    <row r="309" ht="12.75">
      <c r="D309" s="163"/>
    </row>
    <row r="310" ht="12.75">
      <c r="D310" s="163"/>
    </row>
    <row r="311" ht="12.75">
      <c r="D311" s="163"/>
    </row>
    <row r="312" ht="12.75">
      <c r="D312" s="163"/>
    </row>
    <row r="313" ht="12.75">
      <c r="D313" s="163"/>
    </row>
    <row r="314" ht="12.75">
      <c r="D314" s="163"/>
    </row>
    <row r="315" ht="12.75">
      <c r="D315" s="163"/>
    </row>
    <row r="316" ht="12.75">
      <c r="D316" s="163"/>
    </row>
    <row r="317" ht="12.75">
      <c r="D317" s="163"/>
    </row>
    <row r="318" ht="12.75">
      <c r="D318" s="163"/>
    </row>
    <row r="319" ht="12.75">
      <c r="D319" s="163"/>
    </row>
    <row r="320" ht="12.75">
      <c r="D320" s="163"/>
    </row>
    <row r="321" ht="12.75">
      <c r="D321" s="163"/>
    </row>
    <row r="322" ht="12.75">
      <c r="D322" s="163"/>
    </row>
    <row r="323" ht="12.75">
      <c r="D323" s="163"/>
    </row>
    <row r="324" ht="12.75">
      <c r="D324" s="163"/>
    </row>
    <row r="325" ht="12.75">
      <c r="D325" s="163"/>
    </row>
    <row r="326" ht="12.75">
      <c r="D326" s="163"/>
    </row>
    <row r="327" ht="12.75">
      <c r="D327" s="163"/>
    </row>
    <row r="328" ht="12.75">
      <c r="D328" s="163"/>
    </row>
    <row r="329" ht="12.75">
      <c r="D329" s="163"/>
    </row>
    <row r="330" ht="12.75">
      <c r="D330" s="163"/>
    </row>
    <row r="331" ht="12.75">
      <c r="D331" s="163"/>
    </row>
  </sheetData>
  <sheetProtection/>
  <mergeCells count="6">
    <mergeCell ref="F35:H35"/>
    <mergeCell ref="F40:H40"/>
    <mergeCell ref="F30:H30"/>
    <mergeCell ref="B3:H3"/>
    <mergeCell ref="B1:G1"/>
    <mergeCell ref="B2:G2"/>
  </mergeCells>
  <printOptions/>
  <pageMargins left="0.3937007874015748" right="0.15748031496062992" top="0.984251968503937" bottom="0.11811023622047245" header="0.5118110236220472" footer="0.07874015748031496"/>
  <pageSetup fitToHeight="1" fitToWidth="1" horizontalDpi="120" verticalDpi="12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8"/>
  <sheetViews>
    <sheetView view="pageBreakPreview" zoomScaleSheetLayoutView="100" zoomScalePageLayoutView="0" workbookViewId="0" topLeftCell="A73">
      <selection activeCell="E66" sqref="E66"/>
    </sheetView>
  </sheetViews>
  <sheetFormatPr defaultColWidth="9.140625" defaultRowHeight="12.75"/>
  <cols>
    <col min="1" max="1" width="3.28125" style="73" customWidth="1"/>
    <col min="2" max="2" width="4.140625" style="73" customWidth="1"/>
    <col min="3" max="3" width="46.57421875" style="73" customWidth="1"/>
    <col min="4" max="4" width="17.421875" style="73" customWidth="1"/>
    <col min="5" max="5" width="15.57421875" style="73" bestFit="1" customWidth="1"/>
    <col min="6" max="6" width="11.140625" style="73" bestFit="1" customWidth="1"/>
    <col min="7" max="7" width="15.57421875" style="73" bestFit="1" customWidth="1"/>
    <col min="8" max="8" width="10.7109375" style="73" customWidth="1"/>
    <col min="9" max="9" width="9.140625" style="73" customWidth="1"/>
    <col min="10" max="10" width="9.57421875" style="73" bestFit="1" customWidth="1"/>
    <col min="11" max="11" width="10.140625" style="73" bestFit="1" customWidth="1"/>
    <col min="12" max="12" width="10.00390625" style="73" customWidth="1"/>
    <col min="13" max="16384" width="9.140625" style="73" customWidth="1"/>
  </cols>
  <sheetData>
    <row r="2" spans="2:5" ht="12.75">
      <c r="B2" s="38" t="s">
        <v>837</v>
      </c>
      <c r="C2" s="38"/>
      <c r="D2" s="38"/>
      <c r="E2" s="38"/>
    </row>
    <row r="3" ht="13.5" thickBot="1"/>
    <row r="4" spans="2:8" ht="12.75">
      <c r="B4" s="39"/>
      <c r="C4" s="133"/>
      <c r="D4" s="103"/>
      <c r="E4" s="84" t="s">
        <v>407</v>
      </c>
      <c r="F4" s="81"/>
      <c r="G4" s="9" t="s">
        <v>102</v>
      </c>
      <c r="H4" s="66"/>
    </row>
    <row r="5" spans="2:8" ht="13.5" thickBot="1">
      <c r="B5" s="134"/>
      <c r="C5" s="40"/>
      <c r="D5" s="183"/>
      <c r="E5" s="86" t="s">
        <v>20</v>
      </c>
      <c r="F5" s="184"/>
      <c r="G5" s="47" t="s">
        <v>20</v>
      </c>
      <c r="H5" s="66"/>
    </row>
    <row r="6" spans="2:7" ht="12.75">
      <c r="B6" s="76" t="s">
        <v>644</v>
      </c>
      <c r="C6" s="211"/>
      <c r="D6" s="136"/>
      <c r="E6" s="245"/>
      <c r="F6" s="133"/>
      <c r="G6" s="245"/>
    </row>
    <row r="7" spans="2:7" ht="12.75">
      <c r="B7" s="43" t="s">
        <v>47</v>
      </c>
      <c r="C7" s="77"/>
      <c r="D7" s="83"/>
      <c r="E7" s="87"/>
      <c r="F7" s="131"/>
      <c r="G7" s="87"/>
    </row>
    <row r="8" spans="2:8" ht="12.75">
      <c r="B8" s="62" t="s">
        <v>21</v>
      </c>
      <c r="C8" s="97"/>
      <c r="D8" s="87"/>
      <c r="E8" s="58">
        <f>G12</f>
        <v>8297959.6899999995</v>
      </c>
      <c r="F8" s="131"/>
      <c r="G8" s="58">
        <v>8093474.34</v>
      </c>
      <c r="H8" s="75"/>
    </row>
    <row r="9" spans="2:8" ht="12.75">
      <c r="B9" s="42" t="s">
        <v>349</v>
      </c>
      <c r="C9" s="97"/>
      <c r="D9" s="87"/>
      <c r="E9" s="58">
        <f>'Income &amp; Expenditure'!F25</f>
        <v>-835885.5200000014</v>
      </c>
      <c r="F9" s="131"/>
      <c r="G9" s="58">
        <v>145995.35</v>
      </c>
      <c r="H9" s="75"/>
    </row>
    <row r="10" spans="2:7" ht="12.75">
      <c r="B10" s="42" t="s">
        <v>397</v>
      </c>
      <c r="C10" s="97"/>
      <c r="D10" s="87"/>
      <c r="E10" s="58"/>
      <c r="F10" s="131"/>
      <c r="G10" s="58">
        <v>63200</v>
      </c>
    </row>
    <row r="11" spans="2:7" ht="12.75">
      <c r="B11" s="42" t="s">
        <v>369</v>
      </c>
      <c r="C11" s="97"/>
      <c r="D11" s="87"/>
      <c r="E11" s="58"/>
      <c r="F11" s="131"/>
      <c r="G11" s="58">
        <v>-4710</v>
      </c>
    </row>
    <row r="12" spans="1:8" ht="13.5" thickBot="1">
      <c r="A12" s="131"/>
      <c r="B12" s="42"/>
      <c r="C12" s="97"/>
      <c r="D12" s="87"/>
      <c r="E12" s="61">
        <f>E8+E9+E11+E10</f>
        <v>7462074.169999998</v>
      </c>
      <c r="F12" s="35"/>
      <c r="G12" s="61">
        <f>G8+G9+G10+G11</f>
        <v>8297959.6899999995</v>
      </c>
      <c r="H12" s="75"/>
    </row>
    <row r="13" spans="1:8" ht="14.25" thickBot="1" thickTop="1">
      <c r="A13" s="131"/>
      <c r="B13" s="42"/>
      <c r="C13" s="97"/>
      <c r="D13" s="87"/>
      <c r="E13" s="58"/>
      <c r="F13" s="35"/>
      <c r="G13" s="60"/>
      <c r="H13" s="75"/>
    </row>
    <row r="14" spans="1:7" ht="12.75">
      <c r="A14" s="131"/>
      <c r="B14" s="76" t="s">
        <v>645</v>
      </c>
      <c r="C14" s="97"/>
      <c r="D14" s="87"/>
      <c r="E14" s="60"/>
      <c r="F14" s="131"/>
      <c r="G14" s="60"/>
    </row>
    <row r="15" spans="2:7" ht="12.75">
      <c r="B15" s="43" t="s">
        <v>46</v>
      </c>
      <c r="C15" s="97"/>
      <c r="D15" s="87"/>
      <c r="E15" s="87"/>
      <c r="F15" s="131"/>
      <c r="G15" s="87"/>
    </row>
    <row r="16" spans="2:8" ht="12.75">
      <c r="B16" s="42" t="s">
        <v>22</v>
      </c>
      <c r="C16" s="97"/>
      <c r="D16" s="87"/>
      <c r="E16" s="58">
        <f>G19</f>
        <v>282294</v>
      </c>
      <c r="F16" s="131"/>
      <c r="G16" s="58">
        <v>283195</v>
      </c>
      <c r="H16" s="75"/>
    </row>
    <row r="17" spans="2:7" ht="12.75">
      <c r="B17" s="42" t="s">
        <v>398</v>
      </c>
      <c r="C17" s="97"/>
      <c r="D17" s="87"/>
      <c r="E17" s="58"/>
      <c r="F17" s="131"/>
      <c r="G17" s="58">
        <v>901</v>
      </c>
    </row>
    <row r="18" spans="2:7" ht="12.75">
      <c r="B18" s="42" t="s">
        <v>399</v>
      </c>
      <c r="C18" s="97"/>
      <c r="D18" s="87"/>
      <c r="E18" s="58"/>
      <c r="F18" s="131"/>
      <c r="G18" s="87"/>
    </row>
    <row r="19" spans="2:8" ht="13.5" thickBot="1">
      <c r="B19" s="62"/>
      <c r="C19" s="97"/>
      <c r="D19" s="87"/>
      <c r="E19" s="61">
        <f>E16-E17</f>
        <v>282294</v>
      </c>
      <c r="F19" s="131"/>
      <c r="G19" s="61">
        <f>G16-G17</f>
        <v>282294</v>
      </c>
      <c r="H19" s="75"/>
    </row>
    <row r="20" spans="2:8" ht="13.5" thickTop="1">
      <c r="B20" s="76" t="s">
        <v>646</v>
      </c>
      <c r="C20" s="97"/>
      <c r="D20" s="87"/>
      <c r="E20" s="58"/>
      <c r="F20" s="131"/>
      <c r="G20" s="60"/>
      <c r="H20" s="75"/>
    </row>
    <row r="21" spans="2:8" ht="12.75">
      <c r="B21" s="44" t="s">
        <v>839</v>
      </c>
      <c r="C21" s="97"/>
      <c r="D21" s="87"/>
      <c r="E21" s="58"/>
      <c r="F21" s="131"/>
      <c r="G21" s="60"/>
      <c r="H21" s="75"/>
    </row>
    <row r="22" spans="2:8" ht="12.75">
      <c r="B22" s="62"/>
      <c r="C22" s="97" t="s">
        <v>842</v>
      </c>
      <c r="D22" s="87"/>
      <c r="E22" s="58">
        <v>1245986</v>
      </c>
      <c r="F22" s="131"/>
      <c r="G22" s="60"/>
      <c r="H22" s="75"/>
    </row>
    <row r="23" spans="2:8" ht="12.75">
      <c r="B23" s="62"/>
      <c r="C23" s="97" t="s">
        <v>843</v>
      </c>
      <c r="D23" s="87"/>
      <c r="E23" s="58">
        <v>509184</v>
      </c>
      <c r="F23" s="131"/>
      <c r="G23" s="60"/>
      <c r="H23" s="75"/>
    </row>
    <row r="24" spans="2:8" ht="13.5" thickBot="1">
      <c r="B24" s="62"/>
      <c r="C24" s="97"/>
      <c r="D24" s="87"/>
      <c r="E24" s="61">
        <f>E22+E23</f>
        <v>1755170</v>
      </c>
      <c r="F24" s="131"/>
      <c r="G24" s="60"/>
      <c r="H24" s="75"/>
    </row>
    <row r="25" spans="2:8" ht="13.5" thickTop="1">
      <c r="B25" s="43" t="s">
        <v>840</v>
      </c>
      <c r="C25" s="97"/>
      <c r="D25" s="87"/>
      <c r="E25" s="58"/>
      <c r="F25" s="131"/>
      <c r="G25" s="60"/>
      <c r="H25" s="75"/>
    </row>
    <row r="26" spans="2:8" ht="12.75">
      <c r="B26" s="43" t="s">
        <v>841</v>
      </c>
      <c r="C26" s="97"/>
      <c r="D26" s="87"/>
      <c r="E26" s="58"/>
      <c r="F26" s="131"/>
      <c r="G26" s="60"/>
      <c r="H26" s="75"/>
    </row>
    <row r="27" spans="1:8" ht="12.75">
      <c r="A27" s="131"/>
      <c r="B27" s="62" t="s">
        <v>408</v>
      </c>
      <c r="C27" s="97"/>
      <c r="D27" s="87"/>
      <c r="E27" s="58">
        <v>2451030.8</v>
      </c>
      <c r="F27" s="131"/>
      <c r="G27" s="60">
        <v>66808.9</v>
      </c>
      <c r="H27" s="75"/>
    </row>
    <row r="28" spans="1:8" ht="12.75">
      <c r="A28" s="131"/>
      <c r="B28" s="62" t="s">
        <v>409</v>
      </c>
      <c r="C28" s="97"/>
      <c r="D28" s="87"/>
      <c r="E28" s="88">
        <v>4645</v>
      </c>
      <c r="F28" s="131"/>
      <c r="G28" s="185"/>
      <c r="H28" s="75"/>
    </row>
    <row r="29" spans="2:7" ht="13.5" thickBot="1">
      <c r="B29" s="62"/>
      <c r="C29" s="97"/>
      <c r="D29" s="87"/>
      <c r="E29" s="61">
        <f>SUM(E27:E28)</f>
        <v>2455675.8</v>
      </c>
      <c r="F29" s="131"/>
      <c r="G29" s="61">
        <f>SUM(G27:G28)</f>
        <v>66808.9</v>
      </c>
    </row>
    <row r="30" spans="2:7" ht="13.5" thickTop="1">
      <c r="B30" s="62"/>
      <c r="C30" s="97"/>
      <c r="D30" s="87"/>
      <c r="E30" s="60"/>
      <c r="F30" s="131"/>
      <c r="G30" s="60"/>
    </row>
    <row r="31" spans="2:7" ht="12.75">
      <c r="B31" s="42"/>
      <c r="C31" s="97"/>
      <c r="D31" s="87"/>
      <c r="E31" s="60"/>
      <c r="F31" s="131"/>
      <c r="G31" s="60"/>
    </row>
    <row r="32" spans="2:9" ht="12.75">
      <c r="B32" s="62"/>
      <c r="C32" s="97"/>
      <c r="D32" s="87"/>
      <c r="E32" s="87"/>
      <c r="F32" s="131"/>
      <c r="G32" s="87"/>
      <c r="H32" s="131"/>
      <c r="I32" s="131"/>
    </row>
    <row r="33" spans="2:7" ht="12.75">
      <c r="B33" s="43" t="s">
        <v>647</v>
      </c>
      <c r="C33" s="97"/>
      <c r="D33" s="92"/>
      <c r="E33" s="87"/>
      <c r="F33" s="131"/>
      <c r="G33" s="87"/>
    </row>
    <row r="34" spans="2:7" ht="12.75">
      <c r="B34" s="43" t="s">
        <v>48</v>
      </c>
      <c r="C34" s="97"/>
      <c r="D34" s="58"/>
      <c r="E34" s="87"/>
      <c r="F34" s="52"/>
      <c r="G34" s="87"/>
    </row>
    <row r="35" spans="2:7" ht="12.75">
      <c r="B35" s="43" t="s">
        <v>643</v>
      </c>
      <c r="C35" s="97"/>
      <c r="D35" s="58"/>
      <c r="E35" s="87"/>
      <c r="F35" s="52"/>
      <c r="G35" s="87"/>
    </row>
    <row r="36" spans="2:8" ht="12.75">
      <c r="B36" s="62" t="s">
        <v>49</v>
      </c>
      <c r="C36" s="97"/>
      <c r="D36" s="58"/>
      <c r="E36" s="58">
        <v>8784599</v>
      </c>
      <c r="F36" s="52"/>
      <c r="G36" s="58">
        <v>3808598</v>
      </c>
      <c r="H36" s="75"/>
    </row>
    <row r="37" spans="2:8" ht="12.75">
      <c r="B37" s="62" t="s">
        <v>50</v>
      </c>
      <c r="C37" s="97"/>
      <c r="D37" s="58"/>
      <c r="E37" s="58">
        <v>519379</v>
      </c>
      <c r="F37" s="197"/>
      <c r="G37" s="58">
        <v>353772</v>
      </c>
      <c r="H37" s="75"/>
    </row>
    <row r="38" spans="2:8" ht="12.75">
      <c r="B38" s="62" t="s">
        <v>588</v>
      </c>
      <c r="C38" s="97"/>
      <c r="D38" s="58"/>
      <c r="E38" s="58">
        <f>138207-20731</f>
        <v>117476</v>
      </c>
      <c r="F38" s="197"/>
      <c r="G38" s="58">
        <v>22371</v>
      </c>
      <c r="H38" s="75"/>
    </row>
    <row r="39" spans="2:8" ht="13.5" thickBot="1">
      <c r="B39" s="62" t="s">
        <v>51</v>
      </c>
      <c r="C39" s="97"/>
      <c r="D39" s="87"/>
      <c r="E39" s="61">
        <f>E36-E37-E38</f>
        <v>8147744</v>
      </c>
      <c r="F39" s="52"/>
      <c r="G39" s="127">
        <f>G36-G37-G38</f>
        <v>3432455</v>
      </c>
      <c r="H39" s="75"/>
    </row>
    <row r="40" spans="2:7" ht="13.5" thickTop="1">
      <c r="B40" s="62"/>
      <c r="C40" s="97"/>
      <c r="D40" s="91"/>
      <c r="E40" s="58"/>
      <c r="F40" s="52"/>
      <c r="G40" s="136"/>
    </row>
    <row r="41" spans="2:7" ht="12.75">
      <c r="B41" s="62"/>
      <c r="C41" s="97"/>
      <c r="D41" s="91"/>
      <c r="E41" s="87"/>
      <c r="F41" s="52"/>
      <c r="G41" s="87"/>
    </row>
    <row r="42" spans="2:7" ht="12.75">
      <c r="B42" s="43" t="s">
        <v>96</v>
      </c>
      <c r="C42" s="97"/>
      <c r="D42" s="91"/>
      <c r="E42" s="87"/>
      <c r="F42" s="52"/>
      <c r="G42" s="87"/>
    </row>
    <row r="43" spans="2:8" ht="12.75">
      <c r="B43" s="62" t="s">
        <v>49</v>
      </c>
      <c r="C43" s="97"/>
      <c r="D43" s="91"/>
      <c r="E43" s="58">
        <f>231918+395</f>
        <v>232313</v>
      </c>
      <c r="F43" s="52"/>
      <c r="G43" s="58">
        <v>246088</v>
      </c>
      <c r="H43" s="75"/>
    </row>
    <row r="44" spans="2:8" ht="12.75">
      <c r="B44" s="62" t="s">
        <v>50</v>
      </c>
      <c r="C44" s="97"/>
      <c r="D44" s="91"/>
      <c r="E44" s="58">
        <v>37226</v>
      </c>
      <c r="F44" s="52"/>
      <c r="G44" s="58">
        <v>37247</v>
      </c>
      <c r="H44" s="75"/>
    </row>
    <row r="45" spans="2:7" ht="12.75">
      <c r="B45" s="62" t="s">
        <v>262</v>
      </c>
      <c r="C45" s="97"/>
      <c r="D45" s="91"/>
      <c r="E45" s="58">
        <f>55271-8291</f>
        <v>46980</v>
      </c>
      <c r="F45" s="52"/>
      <c r="G45" s="58"/>
    </row>
    <row r="46" spans="2:7" ht="13.5" thickBot="1">
      <c r="B46" s="62" t="s">
        <v>51</v>
      </c>
      <c r="C46" s="97"/>
      <c r="D46" s="91"/>
      <c r="E46" s="127">
        <f>E43-E44-E45</f>
        <v>148107</v>
      </c>
      <c r="F46" s="197"/>
      <c r="G46" s="61">
        <f>G43-G44</f>
        <v>208841</v>
      </c>
    </row>
    <row r="47" spans="2:8" ht="14.25" thickBot="1" thickTop="1">
      <c r="B47" s="62"/>
      <c r="C47" s="102" t="s">
        <v>95</v>
      </c>
      <c r="D47" s="91"/>
      <c r="E47" s="61">
        <f>E39+E46</f>
        <v>8295851</v>
      </c>
      <c r="F47" s="52"/>
      <c r="G47" s="60">
        <f>G39+G46</f>
        <v>3641296</v>
      </c>
      <c r="H47" s="75"/>
    </row>
    <row r="48" spans="2:7" ht="13.5" thickTop="1">
      <c r="B48" s="43" t="s">
        <v>844</v>
      </c>
      <c r="C48" s="97"/>
      <c r="D48" s="87"/>
      <c r="E48" s="87"/>
      <c r="F48" s="131"/>
      <c r="G48" s="87"/>
    </row>
    <row r="49" spans="2:8" ht="13.5" thickBot="1">
      <c r="B49" s="43" t="s">
        <v>53</v>
      </c>
      <c r="C49" s="97"/>
      <c r="D49" s="89" t="s">
        <v>94</v>
      </c>
      <c r="E49" s="61">
        <f>'Annexure '!E10</f>
        <v>77827.33</v>
      </c>
      <c r="F49" s="197"/>
      <c r="G49" s="61">
        <f>'Annexure '!G10</f>
        <v>50218.96</v>
      </c>
      <c r="H49" s="75"/>
    </row>
    <row r="50" spans="2:7" ht="13.5" thickTop="1">
      <c r="B50" s="62"/>
      <c r="C50" s="97"/>
      <c r="D50" s="87"/>
      <c r="E50" s="87"/>
      <c r="F50" s="131"/>
      <c r="G50" s="87"/>
    </row>
    <row r="51" spans="2:7" ht="12.75">
      <c r="B51" s="62"/>
      <c r="C51" s="97"/>
      <c r="D51" s="87"/>
      <c r="E51" s="87"/>
      <c r="F51" s="131"/>
      <c r="G51" s="87"/>
    </row>
    <row r="52" spans="2:7" ht="12.75">
      <c r="B52" s="43" t="s">
        <v>845</v>
      </c>
      <c r="C52" s="93"/>
      <c r="D52" s="96"/>
      <c r="E52" s="87"/>
      <c r="F52" s="131"/>
      <c r="G52" s="87"/>
    </row>
    <row r="53" spans="2:8" ht="12.75">
      <c r="B53" s="43" t="s">
        <v>87</v>
      </c>
      <c r="C53" s="93"/>
      <c r="D53" s="89" t="s">
        <v>181</v>
      </c>
      <c r="E53" s="87"/>
      <c r="G53" s="87"/>
      <c r="H53" s="75"/>
    </row>
    <row r="54" spans="2:8" ht="12.75">
      <c r="B54" s="43"/>
      <c r="C54" s="93" t="s">
        <v>851</v>
      </c>
      <c r="D54" s="89">
        <v>102129.83</v>
      </c>
      <c r="E54" s="89"/>
      <c r="F54" s="197"/>
      <c r="G54" s="60"/>
      <c r="H54" s="75"/>
    </row>
    <row r="55" spans="2:8" ht="13.5" thickBot="1">
      <c r="B55" s="43"/>
      <c r="C55" s="93" t="s">
        <v>852</v>
      </c>
      <c r="D55" s="104">
        <v>233</v>
      </c>
      <c r="E55" s="128">
        <f>'Annexure '!E18</f>
        <v>102362.83</v>
      </c>
      <c r="F55" s="197"/>
      <c r="G55" s="61">
        <f>'Annexure '!G18</f>
        <v>98733.83</v>
      </c>
      <c r="H55" s="75"/>
    </row>
    <row r="56" spans="2:7" ht="13.5" thickTop="1">
      <c r="B56" s="45" t="s">
        <v>88</v>
      </c>
      <c r="C56" s="93"/>
      <c r="D56" s="96"/>
      <c r="E56" s="87"/>
      <c r="F56" s="131"/>
      <c r="G56" s="60"/>
    </row>
    <row r="57" spans="2:7" ht="13.5" thickBot="1">
      <c r="B57" s="134"/>
      <c r="C57" s="143"/>
      <c r="D57" s="130"/>
      <c r="E57" s="130"/>
      <c r="F57" s="12"/>
      <c r="G57" s="130"/>
    </row>
    <row r="59" spans="2:7" ht="13.5" thickBot="1">
      <c r="B59" s="155"/>
      <c r="C59" s="155"/>
      <c r="D59" s="155"/>
      <c r="E59" s="155"/>
      <c r="F59" s="155"/>
      <c r="G59" s="155"/>
    </row>
    <row r="60" spans="2:7" ht="12.75">
      <c r="B60" s="154"/>
      <c r="C60" s="133"/>
      <c r="D60" s="136"/>
      <c r="E60" s="84" t="s">
        <v>407</v>
      </c>
      <c r="F60" s="247"/>
      <c r="G60" s="84" t="s">
        <v>102</v>
      </c>
    </row>
    <row r="61" spans="2:7" ht="13.5" thickBot="1">
      <c r="B61" s="62"/>
      <c r="C61" s="131"/>
      <c r="D61" s="87"/>
      <c r="E61" s="86" t="s">
        <v>20</v>
      </c>
      <c r="F61" s="155"/>
      <c r="G61" s="86" t="s">
        <v>20</v>
      </c>
    </row>
    <row r="62" spans="2:12" ht="12.75">
      <c r="B62" s="43" t="s">
        <v>846</v>
      </c>
      <c r="C62" s="246"/>
      <c r="D62" s="87"/>
      <c r="E62" s="87"/>
      <c r="F62" s="131"/>
      <c r="G62" s="87"/>
      <c r="K62" s="75"/>
      <c r="L62" s="75"/>
    </row>
    <row r="63" spans="2:7" ht="12.75">
      <c r="B63" s="43" t="s">
        <v>23</v>
      </c>
      <c r="C63" s="131"/>
      <c r="D63" s="89" t="s">
        <v>89</v>
      </c>
      <c r="E63" s="60"/>
      <c r="F63" s="131"/>
      <c r="G63" s="60"/>
    </row>
    <row r="64" spans="2:8" ht="12.75">
      <c r="B64" s="62" t="s">
        <v>24</v>
      </c>
      <c r="C64" s="131"/>
      <c r="D64" s="87"/>
      <c r="E64" s="58">
        <f>'Annexure '!E43</f>
        <v>28673.45</v>
      </c>
      <c r="F64" s="131"/>
      <c r="G64" s="58">
        <f>'Annexure '!G43</f>
        <v>24660.95</v>
      </c>
      <c r="H64" s="75"/>
    </row>
    <row r="65" spans="2:8" ht="12.75">
      <c r="B65" s="62" t="s">
        <v>52</v>
      </c>
      <c r="C65" s="131"/>
      <c r="D65" s="87"/>
      <c r="E65" s="58">
        <f>'Annexure '!E70</f>
        <v>281809.98</v>
      </c>
      <c r="F65" s="131"/>
      <c r="G65" s="58">
        <f>'Annexure '!G70</f>
        <v>166540.4</v>
      </c>
      <c r="H65" s="75"/>
    </row>
    <row r="66" spans="2:8" ht="12.75">
      <c r="B66" s="62" t="s">
        <v>189</v>
      </c>
      <c r="C66" s="131"/>
      <c r="D66" s="87"/>
      <c r="E66" s="58">
        <f>'Annexure '!E75</f>
        <v>3099884</v>
      </c>
      <c r="F66" s="131"/>
      <c r="G66" s="58">
        <f>'Annexure '!G75</f>
        <v>4728480</v>
      </c>
      <c r="H66" s="75"/>
    </row>
    <row r="67" spans="2:8" ht="13.5" thickBot="1">
      <c r="B67" s="62"/>
      <c r="C67" s="131"/>
      <c r="D67" s="87"/>
      <c r="E67" s="61">
        <f>SUM(E64:E66)</f>
        <v>3410367.43</v>
      </c>
      <c r="F67" s="35"/>
      <c r="G67" s="61">
        <f>G64+G65+G66</f>
        <v>4919681.35</v>
      </c>
      <c r="H67" s="75"/>
    </row>
    <row r="68" spans="2:7" ht="13.5" thickTop="1">
      <c r="B68" s="62"/>
      <c r="C68" s="131"/>
      <c r="D68" s="87"/>
      <c r="E68" s="87"/>
      <c r="G68" s="87"/>
    </row>
    <row r="69" spans="2:7" ht="12.75">
      <c r="B69" s="43" t="s">
        <v>847</v>
      </c>
      <c r="C69" s="131"/>
      <c r="D69" s="87"/>
      <c r="E69" s="87"/>
      <c r="F69" s="131"/>
      <c r="G69" s="87"/>
    </row>
    <row r="70" spans="2:8" ht="13.5" thickBot="1">
      <c r="B70" s="43" t="s">
        <v>90</v>
      </c>
      <c r="C70" s="131"/>
      <c r="D70" s="89" t="s">
        <v>184</v>
      </c>
      <c r="E70" s="61">
        <f>'Annexure '!E119</f>
        <v>284602</v>
      </c>
      <c r="F70" s="52"/>
      <c r="G70" s="61">
        <f>'Annexure '!G119</f>
        <v>1980570.65</v>
      </c>
      <c r="H70" s="75"/>
    </row>
    <row r="71" spans="2:7" ht="13.5" thickTop="1">
      <c r="B71" s="44" t="s">
        <v>91</v>
      </c>
      <c r="C71" s="131"/>
      <c r="D71" s="87"/>
      <c r="E71" s="87"/>
      <c r="F71" s="131"/>
      <c r="G71" s="87"/>
    </row>
    <row r="72" spans="2:7" ht="12.75">
      <c r="B72" s="44" t="s">
        <v>92</v>
      </c>
      <c r="C72" s="35"/>
      <c r="D72" s="87"/>
      <c r="E72" s="87"/>
      <c r="F72" s="131"/>
      <c r="G72" s="87"/>
    </row>
    <row r="73" spans="2:7" ht="12.75">
      <c r="B73" s="44" t="s">
        <v>93</v>
      </c>
      <c r="C73" s="35"/>
      <c r="D73" s="87"/>
      <c r="E73" s="87"/>
      <c r="F73" s="131"/>
      <c r="G73" s="87"/>
    </row>
    <row r="74" spans="2:7" ht="12.75">
      <c r="B74" s="44"/>
      <c r="C74" s="35"/>
      <c r="D74" s="87"/>
      <c r="E74" s="87"/>
      <c r="F74" s="131"/>
      <c r="G74" s="87"/>
    </row>
    <row r="75" spans="2:7" ht="12.75">
      <c r="B75" s="44"/>
      <c r="C75" s="35"/>
      <c r="D75" s="87"/>
      <c r="E75" s="87"/>
      <c r="F75" s="131"/>
      <c r="G75" s="87"/>
    </row>
    <row r="76" spans="2:7" ht="12.75">
      <c r="B76" s="43" t="s">
        <v>648</v>
      </c>
      <c r="C76" s="36"/>
      <c r="D76" s="87"/>
      <c r="E76" s="87"/>
      <c r="F76" s="131"/>
      <c r="G76" s="87"/>
    </row>
    <row r="77" spans="2:7" ht="12.75">
      <c r="B77" s="43" t="s">
        <v>25</v>
      </c>
      <c r="C77" s="131"/>
      <c r="D77" s="87"/>
      <c r="E77" s="87"/>
      <c r="F77" s="131"/>
      <c r="G77" s="87"/>
    </row>
    <row r="78" spans="2:8" ht="12.75">
      <c r="B78" s="62" t="s">
        <v>26</v>
      </c>
      <c r="C78" s="131"/>
      <c r="D78" s="58"/>
      <c r="E78" s="58">
        <v>146757</v>
      </c>
      <c r="F78" s="52"/>
      <c r="G78" s="58">
        <v>112906</v>
      </c>
      <c r="H78" s="75"/>
    </row>
    <row r="79" spans="2:8" ht="12.75">
      <c r="B79" s="62" t="s">
        <v>27</v>
      </c>
      <c r="C79" s="131"/>
      <c r="D79" s="58"/>
      <c r="E79" s="58">
        <v>2318.38</v>
      </c>
      <c r="F79" s="52"/>
      <c r="G79" s="58">
        <v>2552</v>
      </c>
      <c r="H79" s="75"/>
    </row>
    <row r="80" spans="2:8" ht="12.75">
      <c r="B80" s="62" t="s">
        <v>801</v>
      </c>
      <c r="C80" s="131"/>
      <c r="D80" s="58"/>
      <c r="E80" s="58"/>
      <c r="F80" s="52"/>
      <c r="G80" s="58">
        <v>125825</v>
      </c>
      <c r="H80" s="75"/>
    </row>
    <row r="81" spans="2:8" ht="12.75">
      <c r="B81" s="62" t="s">
        <v>802</v>
      </c>
      <c r="C81" s="131"/>
      <c r="D81" s="60" t="s">
        <v>379</v>
      </c>
      <c r="E81" s="209">
        <f>'Annexure '!E505</f>
        <v>0</v>
      </c>
      <c r="F81" s="52"/>
      <c r="G81" s="58">
        <f>'Annexure '!G505</f>
        <v>78483.45</v>
      </c>
      <c r="H81" s="75"/>
    </row>
    <row r="82" spans="2:8" ht="12.75">
      <c r="B82" s="62" t="s">
        <v>370</v>
      </c>
      <c r="C82" s="131"/>
      <c r="D82" s="60"/>
      <c r="E82" s="58"/>
      <c r="F82" s="52"/>
      <c r="G82" s="58">
        <v>149075</v>
      </c>
      <c r="H82" s="75"/>
    </row>
    <row r="83" spans="2:8" ht="12.75">
      <c r="B83" s="62" t="s">
        <v>350</v>
      </c>
      <c r="C83" s="131"/>
      <c r="D83" s="60" t="s">
        <v>371</v>
      </c>
      <c r="E83" s="209">
        <f>'Annexure '!E479</f>
        <v>0</v>
      </c>
      <c r="F83" s="52"/>
      <c r="G83" s="58">
        <f>'Annexure '!G479</f>
        <v>198150</v>
      </c>
      <c r="H83" s="75"/>
    </row>
    <row r="84" spans="2:8" ht="12.75">
      <c r="B84" s="62" t="s">
        <v>261</v>
      </c>
      <c r="C84" s="131"/>
      <c r="D84" s="58"/>
      <c r="E84" s="58">
        <v>100</v>
      </c>
      <c r="F84" s="52"/>
      <c r="G84" s="58">
        <v>100</v>
      </c>
      <c r="H84" s="75"/>
    </row>
    <row r="85" spans="2:7" ht="12.75">
      <c r="B85" s="62" t="s">
        <v>419</v>
      </c>
      <c r="C85" s="131"/>
      <c r="D85" s="58"/>
      <c r="E85" s="58"/>
      <c r="F85" s="52"/>
      <c r="G85" s="58"/>
    </row>
    <row r="86" spans="2:7" ht="12.75">
      <c r="B86" s="62" t="s">
        <v>420</v>
      </c>
      <c r="C86" s="131"/>
      <c r="D86" s="58"/>
      <c r="E86" s="58"/>
      <c r="F86" s="52"/>
      <c r="G86" s="58"/>
    </row>
    <row r="87" spans="2:8" ht="12.75">
      <c r="B87" s="62" t="s">
        <v>825</v>
      </c>
      <c r="C87" s="131"/>
      <c r="D87" s="87"/>
      <c r="E87" s="58">
        <v>17100</v>
      </c>
      <c r="F87" s="131"/>
      <c r="G87" s="58">
        <v>17100</v>
      </c>
      <c r="H87" s="75"/>
    </row>
    <row r="88" spans="2:8" ht="13.5" thickBot="1">
      <c r="B88" s="62"/>
      <c r="C88" s="131"/>
      <c r="D88" s="87"/>
      <c r="E88" s="61">
        <f>SUM(E78:E87)</f>
        <v>166275.38</v>
      </c>
      <c r="F88" s="131"/>
      <c r="G88" s="61">
        <f>SUM(G78:G87)</f>
        <v>684191.45</v>
      </c>
      <c r="H88" s="75"/>
    </row>
    <row r="89" spans="2:7" ht="13.5" thickTop="1">
      <c r="B89" s="62"/>
      <c r="C89" s="131"/>
      <c r="D89" s="87"/>
      <c r="E89" s="58"/>
      <c r="F89" s="131"/>
      <c r="G89" s="87"/>
    </row>
    <row r="90" spans="2:7" ht="12.75">
      <c r="B90" s="62"/>
      <c r="C90" s="131"/>
      <c r="D90" s="87"/>
      <c r="E90" s="87"/>
      <c r="F90" s="131"/>
      <c r="G90" s="87"/>
    </row>
    <row r="91" spans="2:7" ht="12.75">
      <c r="B91" s="43" t="s">
        <v>649</v>
      </c>
      <c r="C91" s="36"/>
      <c r="D91" s="89"/>
      <c r="E91" s="87"/>
      <c r="F91" s="131"/>
      <c r="G91" s="58"/>
    </row>
    <row r="92" spans="2:7" ht="12.75">
      <c r="B92" s="43" t="s">
        <v>28</v>
      </c>
      <c r="C92" s="131"/>
      <c r="D92" s="87"/>
      <c r="E92" s="87"/>
      <c r="F92" s="131"/>
      <c r="G92" s="87"/>
    </row>
    <row r="93" spans="2:8" ht="12.75">
      <c r="B93" s="44" t="s">
        <v>848</v>
      </c>
      <c r="C93" s="131"/>
      <c r="D93" s="89" t="s">
        <v>97</v>
      </c>
      <c r="E93" s="58">
        <f>'Annexure '!E172</f>
        <v>382072</v>
      </c>
      <c r="F93" s="52"/>
      <c r="G93" s="58">
        <f>'Annexure '!G172</f>
        <v>173096</v>
      </c>
      <c r="H93" s="75"/>
    </row>
    <row r="94" spans="2:8" ht="12.75">
      <c r="B94" s="43" t="s">
        <v>402</v>
      </c>
      <c r="C94" s="131"/>
      <c r="D94" s="60" t="s">
        <v>362</v>
      </c>
      <c r="E94" s="208">
        <f>'Annexure '!E471</f>
        <v>0</v>
      </c>
      <c r="F94" s="52"/>
      <c r="G94" s="58">
        <f>'Annexure '!G471</f>
        <v>1612975.65</v>
      </c>
      <c r="H94" s="75"/>
    </row>
    <row r="95" spans="2:8" ht="12.75">
      <c r="B95" s="43" t="s">
        <v>403</v>
      </c>
      <c r="C95" s="131"/>
      <c r="D95" s="58"/>
      <c r="E95" s="186"/>
      <c r="F95" s="52"/>
      <c r="G95" s="58">
        <v>149075</v>
      </c>
      <c r="H95" s="75"/>
    </row>
    <row r="96" spans="2:8" ht="12.75">
      <c r="B96" s="43" t="s">
        <v>404</v>
      </c>
      <c r="C96" s="131"/>
      <c r="D96" s="60" t="s">
        <v>358</v>
      </c>
      <c r="E96" s="186"/>
      <c r="F96" s="52"/>
      <c r="G96" s="58">
        <f>'Annexure '!G457</f>
        <v>837522</v>
      </c>
      <c r="H96" s="75"/>
    </row>
    <row r="97" spans="2:8" ht="13.5" thickBot="1">
      <c r="B97" s="62"/>
      <c r="C97" s="131"/>
      <c r="D97" s="58"/>
      <c r="E97" s="61">
        <f>E93+E94+E95+E96</f>
        <v>382072</v>
      </c>
      <c r="F97" s="52"/>
      <c r="G97" s="61">
        <f>SUM(G93:G96)</f>
        <v>2772668.65</v>
      </c>
      <c r="H97" s="75"/>
    </row>
    <row r="98" spans="2:7" ht="13.5" thickTop="1">
      <c r="B98" s="62"/>
      <c r="C98" s="131"/>
      <c r="D98" s="60"/>
      <c r="E98" s="60"/>
      <c r="F98" s="131"/>
      <c r="G98" s="89"/>
    </row>
    <row r="99" spans="2:7" ht="13.5" thickBot="1">
      <c r="B99" s="44" t="s">
        <v>650</v>
      </c>
      <c r="C99" s="131"/>
      <c r="D99" s="87"/>
      <c r="E99" s="86"/>
      <c r="F99" s="131"/>
      <c r="G99" s="86"/>
    </row>
    <row r="100" spans="2:7" ht="12.75">
      <c r="B100" s="43" t="s">
        <v>54</v>
      </c>
      <c r="C100" s="131"/>
      <c r="D100" s="87"/>
      <c r="E100" s="87"/>
      <c r="F100" s="131"/>
      <c r="G100" s="136"/>
    </row>
    <row r="101" spans="2:8" ht="12.75">
      <c r="B101" s="62" t="s">
        <v>850</v>
      </c>
      <c r="C101" s="131"/>
      <c r="D101" s="87"/>
      <c r="E101" s="58">
        <f>914038.45+113877.08</f>
        <v>1027915.5299999999</v>
      </c>
      <c r="F101" s="131"/>
      <c r="G101" s="58">
        <f>618190+425684.35</f>
        <v>1043874.35</v>
      </c>
      <c r="H101" s="75"/>
    </row>
    <row r="102" spans="2:8" ht="12.75">
      <c r="B102" s="62" t="s">
        <v>446</v>
      </c>
      <c r="C102" s="131"/>
      <c r="D102" s="87"/>
      <c r="E102" s="58">
        <v>280907</v>
      </c>
      <c r="F102" s="131"/>
      <c r="G102" s="58">
        <v>24509</v>
      </c>
      <c r="H102" s="75"/>
    </row>
    <row r="103" spans="2:8" ht="12.75">
      <c r="B103" s="62" t="s">
        <v>447</v>
      </c>
      <c r="C103" s="131"/>
      <c r="D103" s="87"/>
      <c r="E103" s="58">
        <v>33020</v>
      </c>
      <c r="F103" s="131"/>
      <c r="G103" s="58">
        <v>1470</v>
      </c>
      <c r="H103" s="75"/>
    </row>
    <row r="104" spans="2:7" ht="13.5" thickBot="1">
      <c r="B104" s="269"/>
      <c r="C104" s="270"/>
      <c r="D104" s="87"/>
      <c r="E104" s="61">
        <f>SUM(E101:E103)</f>
        <v>1341842.5299999998</v>
      </c>
      <c r="F104" s="131"/>
      <c r="G104" s="61">
        <f>SUM(G101:G103)</f>
        <v>1069853.35</v>
      </c>
    </row>
    <row r="105" spans="2:8" ht="13.5" thickTop="1">
      <c r="B105" s="43" t="s">
        <v>651</v>
      </c>
      <c r="C105" s="131"/>
      <c r="D105" s="87"/>
      <c r="E105" s="87"/>
      <c r="F105" s="131"/>
      <c r="G105" s="87"/>
      <c r="H105" s="75"/>
    </row>
    <row r="106" spans="2:7" ht="12.75">
      <c r="B106" s="41" t="s">
        <v>55</v>
      </c>
      <c r="C106" s="131"/>
      <c r="D106" s="87"/>
      <c r="E106" s="87"/>
      <c r="F106" s="52"/>
      <c r="G106" s="87"/>
    </row>
    <row r="107" spans="2:8" ht="12.75">
      <c r="B107" s="41" t="s">
        <v>56</v>
      </c>
      <c r="C107" s="131"/>
      <c r="D107" s="87"/>
      <c r="E107" s="58"/>
      <c r="F107" s="131"/>
      <c r="G107" s="87"/>
      <c r="H107" s="75"/>
    </row>
    <row r="108" spans="2:7" ht="12.75">
      <c r="B108" s="62" t="s">
        <v>58</v>
      </c>
      <c r="C108" s="131"/>
      <c r="D108" s="87"/>
      <c r="E108" s="58">
        <v>36341.57</v>
      </c>
      <c r="F108" s="131"/>
      <c r="G108" s="58">
        <v>15323</v>
      </c>
    </row>
    <row r="109" spans="2:8" ht="12.75">
      <c r="B109" s="62" t="s">
        <v>59</v>
      </c>
      <c r="C109" s="131"/>
      <c r="D109" s="87"/>
      <c r="E109" s="58">
        <f>180554.2+93939+1160+479+9308+1889</f>
        <v>287329.2</v>
      </c>
      <c r="F109" s="131"/>
      <c r="G109" s="58">
        <f>476597+28568.5-323886.7</f>
        <v>181278.8</v>
      </c>
      <c r="H109" s="75"/>
    </row>
    <row r="110" spans="2:7" ht="12.75">
      <c r="B110" s="62" t="s">
        <v>60</v>
      </c>
      <c r="C110" s="131"/>
      <c r="D110" s="87"/>
      <c r="E110" s="58">
        <f>'Annexure '!E8</f>
        <v>46382.63</v>
      </c>
      <c r="F110" s="131"/>
      <c r="G110" s="58">
        <v>36341.57</v>
      </c>
    </row>
    <row r="111" spans="2:8" ht="13.5" thickBot="1">
      <c r="B111" s="62"/>
      <c r="C111" s="131"/>
      <c r="D111" s="58"/>
      <c r="E111" s="61">
        <f>E108+E109-E110</f>
        <v>277288.14</v>
      </c>
      <c r="F111" s="52"/>
      <c r="G111" s="61">
        <f>G108+G109-G110</f>
        <v>160260.22999999998</v>
      </c>
      <c r="H111" s="75"/>
    </row>
    <row r="112" spans="2:7" ht="13.5" thickTop="1">
      <c r="B112" s="43" t="s">
        <v>57</v>
      </c>
      <c r="C112" s="131"/>
      <c r="D112" s="87"/>
      <c r="E112" s="60"/>
      <c r="F112" s="131"/>
      <c r="G112" s="60"/>
    </row>
    <row r="113" spans="2:7" ht="12.75">
      <c r="B113" s="62" t="s">
        <v>58</v>
      </c>
      <c r="C113" s="131"/>
      <c r="D113" s="58"/>
      <c r="E113" s="58">
        <v>13877.39</v>
      </c>
      <c r="F113" s="131"/>
      <c r="G113" s="58">
        <v>21537</v>
      </c>
    </row>
    <row r="114" spans="2:7" ht="12.75">
      <c r="B114" s="62" t="s">
        <v>59</v>
      </c>
      <c r="C114" s="131"/>
      <c r="D114" s="87"/>
      <c r="E114" s="58">
        <f>8250+23500</f>
        <v>31750</v>
      </c>
      <c r="F114" s="131"/>
      <c r="G114" s="58"/>
    </row>
    <row r="115" spans="2:7" ht="12.75">
      <c r="B115" s="62" t="s">
        <v>60</v>
      </c>
      <c r="C115" s="131"/>
      <c r="D115" s="87"/>
      <c r="E115" s="60">
        <f>'Annexure '!E9</f>
        <v>31444.7</v>
      </c>
      <c r="F115" s="131"/>
      <c r="G115" s="58">
        <v>13877.39</v>
      </c>
    </row>
    <row r="116" spans="1:7" ht="12.75">
      <c r="A116" s="131"/>
      <c r="B116" s="62"/>
      <c r="C116" s="131"/>
      <c r="D116" s="58"/>
      <c r="E116" s="127">
        <f>E113+E114-E115</f>
        <v>14182.689999999999</v>
      </c>
      <c r="F116" s="131"/>
      <c r="G116" s="108">
        <f>G113+G114-G115</f>
        <v>7659.610000000001</v>
      </c>
    </row>
    <row r="117" spans="2:7" ht="13.5" thickBot="1">
      <c r="B117" s="62"/>
      <c r="C117" s="53" t="s">
        <v>95</v>
      </c>
      <c r="D117" s="58"/>
      <c r="E117" s="61">
        <f>E111+E116</f>
        <v>291470.83</v>
      </c>
      <c r="F117" s="52"/>
      <c r="G117" s="61">
        <f>G111+G116</f>
        <v>167919.83999999997</v>
      </c>
    </row>
    <row r="118" spans="2:7" ht="14.25" thickBot="1" thickTop="1">
      <c r="B118" s="242"/>
      <c r="C118" s="155"/>
      <c r="D118" s="130"/>
      <c r="E118" s="241"/>
      <c r="F118" s="248"/>
      <c r="G118" s="156"/>
    </row>
    <row r="119" spans="2:7" ht="12.75">
      <c r="B119" s="76" t="s">
        <v>61</v>
      </c>
      <c r="C119" s="174"/>
      <c r="D119" s="97"/>
      <c r="E119" s="84" t="s">
        <v>407</v>
      </c>
      <c r="F119" s="247"/>
      <c r="G119" s="84" t="s">
        <v>102</v>
      </c>
    </row>
    <row r="120" spans="2:7" ht="13.5" thickBot="1">
      <c r="B120" s="43" t="s">
        <v>617</v>
      </c>
      <c r="C120" s="97"/>
      <c r="D120" s="97"/>
      <c r="E120" s="86" t="s">
        <v>20</v>
      </c>
      <c r="F120" s="155"/>
      <c r="G120" s="86" t="s">
        <v>20</v>
      </c>
    </row>
    <row r="121" spans="2:7" ht="12.75">
      <c r="B121" s="62" t="s">
        <v>448</v>
      </c>
      <c r="C121" s="97"/>
      <c r="D121" s="97"/>
      <c r="E121" s="58">
        <v>776</v>
      </c>
      <c r="F121" s="131"/>
      <c r="G121" s="87"/>
    </row>
    <row r="122" spans="2:7" ht="12.75">
      <c r="B122" s="95" t="s">
        <v>449</v>
      </c>
      <c r="C122" s="97"/>
      <c r="D122" s="97"/>
      <c r="E122" s="58">
        <v>3654</v>
      </c>
      <c r="F122" s="131"/>
      <c r="G122" s="87"/>
    </row>
    <row r="123" spans="2:7" ht="12.75">
      <c r="B123" s="62" t="s">
        <v>450</v>
      </c>
      <c r="C123" s="97"/>
      <c r="D123" s="97"/>
      <c r="E123" s="58">
        <v>45080</v>
      </c>
      <c r="F123" s="131"/>
      <c r="G123" s="87"/>
    </row>
    <row r="124" spans="2:7" ht="12.75">
      <c r="B124" s="62" t="s">
        <v>451</v>
      </c>
      <c r="C124" s="97"/>
      <c r="D124" s="97"/>
      <c r="E124" s="58">
        <v>7043</v>
      </c>
      <c r="F124" s="131"/>
      <c r="G124" s="87"/>
    </row>
    <row r="125" spans="2:7" ht="12.75">
      <c r="B125" s="62" t="s">
        <v>452</v>
      </c>
      <c r="C125" s="97"/>
      <c r="D125" s="109">
        <v>24765.9</v>
      </c>
      <c r="E125" s="59"/>
      <c r="F125" s="131"/>
      <c r="G125" s="87"/>
    </row>
    <row r="126" spans="2:7" ht="12.75">
      <c r="B126" s="62" t="s">
        <v>659</v>
      </c>
      <c r="C126" s="97"/>
      <c r="D126" s="149">
        <v>178</v>
      </c>
      <c r="E126" s="59">
        <f>D125-D126</f>
        <v>24587.9</v>
      </c>
      <c r="F126" s="131"/>
      <c r="G126" s="87"/>
    </row>
    <row r="127" spans="2:7" ht="12.75">
      <c r="B127" s="62" t="s">
        <v>68</v>
      </c>
      <c r="C127" s="97"/>
      <c r="D127" s="97"/>
      <c r="E127" s="58">
        <v>431</v>
      </c>
      <c r="F127" s="131"/>
      <c r="G127" s="58">
        <v>4158</v>
      </c>
    </row>
    <row r="128" spans="2:7" ht="12.75">
      <c r="B128" s="62" t="s">
        <v>69</v>
      </c>
      <c r="C128" s="97"/>
      <c r="D128" s="97"/>
      <c r="E128" s="58">
        <v>6125</v>
      </c>
      <c r="F128" s="131"/>
      <c r="G128" s="58">
        <v>360</v>
      </c>
    </row>
    <row r="129" spans="2:7" ht="12.75">
      <c r="B129" s="62" t="s">
        <v>29</v>
      </c>
      <c r="C129" s="97"/>
      <c r="D129" s="97"/>
      <c r="E129" s="58">
        <v>3015.5</v>
      </c>
      <c r="F129" s="131"/>
      <c r="G129" s="58">
        <v>700</v>
      </c>
    </row>
    <row r="130" spans="2:7" ht="12.75">
      <c r="B130" s="62" t="s">
        <v>353</v>
      </c>
      <c r="C130" s="97"/>
      <c r="D130" s="97"/>
      <c r="E130" s="58"/>
      <c r="F130" s="131"/>
      <c r="G130" s="58">
        <v>9300</v>
      </c>
    </row>
    <row r="131" spans="2:7" ht="12.75">
      <c r="B131" s="62" t="s">
        <v>660</v>
      </c>
      <c r="C131" s="97"/>
      <c r="D131" s="97"/>
      <c r="E131" s="58">
        <v>3674</v>
      </c>
      <c r="F131" s="131"/>
      <c r="G131" s="58">
        <v>3948</v>
      </c>
    </row>
    <row r="132" spans="2:7" ht="12.75">
      <c r="B132" s="62" t="s">
        <v>453</v>
      </c>
      <c r="C132" s="97"/>
      <c r="D132" s="97"/>
      <c r="E132" s="58">
        <v>57900</v>
      </c>
      <c r="F132" s="131"/>
      <c r="G132" s="58"/>
    </row>
    <row r="133" spans="2:7" ht="12.75">
      <c r="B133" s="62" t="s">
        <v>455</v>
      </c>
      <c r="C133" s="97"/>
      <c r="D133" s="97"/>
      <c r="E133" s="58">
        <v>2000</v>
      </c>
      <c r="F133" s="131"/>
      <c r="G133" s="58"/>
    </row>
    <row r="134" spans="2:7" ht="12.75">
      <c r="B134" s="267" t="s">
        <v>454</v>
      </c>
      <c r="C134" s="268"/>
      <c r="D134" s="97"/>
      <c r="E134" s="58">
        <v>6660</v>
      </c>
      <c r="F134" s="131"/>
      <c r="G134" s="58"/>
    </row>
    <row r="135" spans="2:7" ht="12.75">
      <c r="B135" s="267" t="s">
        <v>178</v>
      </c>
      <c r="C135" s="268"/>
      <c r="D135" s="97"/>
      <c r="E135" s="58">
        <v>112</v>
      </c>
      <c r="F135" s="131"/>
      <c r="G135" s="58"/>
    </row>
    <row r="136" spans="2:7" ht="12.75">
      <c r="B136" s="267" t="s">
        <v>797</v>
      </c>
      <c r="C136" s="268"/>
      <c r="D136" s="97"/>
      <c r="E136" s="58">
        <v>1500</v>
      </c>
      <c r="F136" s="131"/>
      <c r="G136" s="58"/>
    </row>
    <row r="137" spans="2:7" ht="12.75">
      <c r="B137" s="267" t="s">
        <v>168</v>
      </c>
      <c r="C137" s="268"/>
      <c r="D137" s="97"/>
      <c r="E137" s="58">
        <f>1291</f>
        <v>1291</v>
      </c>
      <c r="F137" s="131"/>
      <c r="G137" s="58">
        <f>579+20</f>
        <v>599</v>
      </c>
    </row>
    <row r="138" spans="2:7" ht="12.75">
      <c r="B138" s="62"/>
      <c r="C138" s="97"/>
      <c r="D138" s="97"/>
      <c r="E138" s="58"/>
      <c r="F138" s="131"/>
      <c r="G138" s="58"/>
    </row>
    <row r="139" spans="2:7" ht="12.75">
      <c r="B139" s="43" t="s">
        <v>618</v>
      </c>
      <c r="C139" s="97"/>
      <c r="D139" s="97"/>
      <c r="E139" s="58"/>
      <c r="F139" s="131"/>
      <c r="G139" s="58"/>
    </row>
    <row r="140" spans="2:7" ht="12.75">
      <c r="B140" s="62" t="s">
        <v>70</v>
      </c>
      <c r="C140" s="97"/>
      <c r="D140" s="97"/>
      <c r="E140" s="58">
        <v>88315</v>
      </c>
      <c r="F140" s="131"/>
      <c r="G140" s="58">
        <v>885</v>
      </c>
    </row>
    <row r="141" spans="2:7" ht="12.75">
      <c r="B141" s="62" t="s">
        <v>354</v>
      </c>
      <c r="C141" s="97"/>
      <c r="D141" s="97"/>
      <c r="E141" s="58"/>
      <c r="F141" s="131"/>
      <c r="G141" s="58">
        <v>2869</v>
      </c>
    </row>
    <row r="142" spans="2:7" ht="12.75">
      <c r="B142" s="62" t="s">
        <v>385</v>
      </c>
      <c r="C142" s="97"/>
      <c r="D142" s="97"/>
      <c r="E142" s="58"/>
      <c r="F142" s="131"/>
      <c r="G142" s="58">
        <v>60000</v>
      </c>
    </row>
    <row r="143" spans="2:7" ht="12.75">
      <c r="B143" s="62" t="s">
        <v>71</v>
      </c>
      <c r="C143" s="97"/>
      <c r="D143" s="97"/>
      <c r="E143" s="58">
        <v>11626</v>
      </c>
      <c r="F143" s="131"/>
      <c r="G143" s="58">
        <v>5550</v>
      </c>
    </row>
    <row r="144" spans="2:7" ht="12.75">
      <c r="B144" s="62" t="s">
        <v>72</v>
      </c>
      <c r="C144" s="97"/>
      <c r="D144" s="97"/>
      <c r="E144" s="58">
        <v>266400</v>
      </c>
      <c r="F144" s="131"/>
      <c r="G144" s="58">
        <f>12000+129545</f>
        <v>141545</v>
      </c>
    </row>
    <row r="145" spans="2:7" ht="12.75">
      <c r="B145" s="62" t="s">
        <v>73</v>
      </c>
      <c r="C145" s="97"/>
      <c r="D145" s="97"/>
      <c r="E145" s="58">
        <v>14640</v>
      </c>
      <c r="F145" s="131"/>
      <c r="G145" s="58">
        <v>6300</v>
      </c>
    </row>
    <row r="146" spans="2:7" ht="12.75">
      <c r="B146" s="267" t="s">
        <v>346</v>
      </c>
      <c r="C146" s="268"/>
      <c r="D146" s="97"/>
      <c r="E146" s="58">
        <v>15220</v>
      </c>
      <c r="F146" s="131"/>
      <c r="G146" s="58"/>
    </row>
    <row r="147" spans="2:7" ht="12.75">
      <c r="B147" s="267" t="s">
        <v>172</v>
      </c>
      <c r="C147" s="268"/>
      <c r="D147" s="97"/>
      <c r="E147" s="58">
        <v>97200</v>
      </c>
      <c r="F147" s="131"/>
      <c r="G147" s="58"/>
    </row>
    <row r="148" spans="2:7" ht="12.75">
      <c r="B148" s="62" t="s">
        <v>74</v>
      </c>
      <c r="C148" s="97"/>
      <c r="D148" s="97"/>
      <c r="E148" s="58"/>
      <c r="F148" s="131"/>
      <c r="G148" s="58"/>
    </row>
    <row r="149" spans="2:7" ht="12.75">
      <c r="B149" s="62" t="s">
        <v>75</v>
      </c>
      <c r="C149" s="97"/>
      <c r="D149" s="97"/>
      <c r="E149" s="58"/>
      <c r="F149" s="131"/>
      <c r="G149" s="58"/>
    </row>
    <row r="150" spans="2:7" ht="12.75">
      <c r="B150" s="62" t="s">
        <v>30</v>
      </c>
      <c r="C150" s="97"/>
      <c r="D150" s="97"/>
      <c r="E150" s="58">
        <v>57946.5</v>
      </c>
      <c r="F150" s="131"/>
      <c r="G150" s="58">
        <v>6437</v>
      </c>
    </row>
    <row r="151" spans="2:7" ht="12.75">
      <c r="B151" s="62" t="s">
        <v>281</v>
      </c>
      <c r="C151" s="97"/>
      <c r="D151" s="97"/>
      <c r="E151" s="58"/>
      <c r="F151" s="52">
        <f>188803.5+45</f>
        <v>188848.5</v>
      </c>
      <c r="G151" s="58">
        <v>350</v>
      </c>
    </row>
    <row r="152" spans="2:7" ht="12.75">
      <c r="B152" s="62" t="s">
        <v>386</v>
      </c>
      <c r="C152" s="97"/>
      <c r="D152" s="97"/>
      <c r="E152" s="58"/>
      <c r="F152" s="52">
        <v>184664</v>
      </c>
      <c r="G152" s="58">
        <v>3500</v>
      </c>
    </row>
    <row r="153" spans="2:7" ht="12.75">
      <c r="B153" s="62" t="s">
        <v>282</v>
      </c>
      <c r="C153" s="97"/>
      <c r="D153" s="97"/>
      <c r="E153" s="58"/>
      <c r="F153" s="131"/>
      <c r="G153" s="58">
        <v>70</v>
      </c>
    </row>
    <row r="154" spans="2:7" ht="12.75">
      <c r="B154" s="62" t="s">
        <v>283</v>
      </c>
      <c r="C154" s="97"/>
      <c r="D154" s="97"/>
      <c r="E154" s="58"/>
      <c r="F154" s="131"/>
      <c r="G154" s="58">
        <v>147.75</v>
      </c>
    </row>
    <row r="155" spans="2:7" ht="12.75">
      <c r="B155" s="62" t="s">
        <v>284</v>
      </c>
      <c r="C155" s="97"/>
      <c r="D155" s="97"/>
      <c r="E155" s="58"/>
      <c r="F155" s="131"/>
      <c r="G155" s="58">
        <f>1490+24620</f>
        <v>26110</v>
      </c>
    </row>
    <row r="156" spans="2:7" ht="12.75">
      <c r="B156" s="62" t="s">
        <v>285</v>
      </c>
      <c r="C156" s="97"/>
      <c r="D156" s="97"/>
      <c r="E156" s="58"/>
      <c r="F156" s="250"/>
      <c r="G156" s="58">
        <v>12014</v>
      </c>
    </row>
    <row r="157" spans="2:7" ht="12.75">
      <c r="B157" s="62" t="s">
        <v>458</v>
      </c>
      <c r="C157" s="97"/>
      <c r="D157" s="109">
        <v>106027.5</v>
      </c>
      <c r="E157" s="58"/>
      <c r="F157" s="131"/>
      <c r="G157" s="58"/>
    </row>
    <row r="158" spans="2:7" ht="12.75">
      <c r="B158" s="62" t="s">
        <v>459</v>
      </c>
      <c r="C158" s="97"/>
      <c r="D158" s="149">
        <v>400</v>
      </c>
      <c r="E158" s="58">
        <f>D157-D158</f>
        <v>105627.5</v>
      </c>
      <c r="F158" s="131"/>
      <c r="G158" s="58">
        <f>F151-F152</f>
        <v>4184.5</v>
      </c>
    </row>
    <row r="159" spans="2:7" ht="12.75">
      <c r="B159" s="62"/>
      <c r="C159" s="249" t="s">
        <v>456</v>
      </c>
      <c r="D159" s="97"/>
      <c r="E159" s="58">
        <v>2971</v>
      </c>
      <c r="F159" s="131"/>
      <c r="G159" s="58"/>
    </row>
    <row r="160" spans="2:7" ht="12.75">
      <c r="B160" s="62"/>
      <c r="C160" s="249" t="s">
        <v>457</v>
      </c>
      <c r="D160" s="97"/>
      <c r="E160" s="58">
        <v>1900</v>
      </c>
      <c r="F160" s="131"/>
      <c r="G160" s="58"/>
    </row>
    <row r="161" spans="2:7" ht="12.75">
      <c r="B161" s="62"/>
      <c r="C161" s="249" t="s">
        <v>171</v>
      </c>
      <c r="D161" s="97"/>
      <c r="E161" s="58">
        <v>6550</v>
      </c>
      <c r="F161" s="131"/>
      <c r="G161" s="58"/>
    </row>
    <row r="162" spans="2:8" ht="12.75">
      <c r="B162" s="62" t="s">
        <v>67</v>
      </c>
      <c r="C162" s="97"/>
      <c r="D162" s="109"/>
      <c r="E162" s="59">
        <v>2500</v>
      </c>
      <c r="F162" s="131"/>
      <c r="G162" s="59">
        <v>1632</v>
      </c>
      <c r="H162" s="75"/>
    </row>
    <row r="163" spans="2:7" ht="12.75">
      <c r="B163" s="62"/>
      <c r="C163" s="249" t="s">
        <v>460</v>
      </c>
      <c r="D163" s="97"/>
      <c r="E163" s="58">
        <v>125</v>
      </c>
      <c r="F163" s="131"/>
      <c r="G163" s="58"/>
    </row>
    <row r="164" spans="2:7" ht="12.75">
      <c r="B164" s="62"/>
      <c r="C164" s="249" t="s">
        <v>461</v>
      </c>
      <c r="D164" s="97"/>
      <c r="E164" s="58">
        <v>150</v>
      </c>
      <c r="F164" s="131"/>
      <c r="G164" s="58"/>
    </row>
    <row r="165" spans="2:7" ht="12.75">
      <c r="B165" s="267" t="s">
        <v>808</v>
      </c>
      <c r="C165" s="268"/>
      <c r="D165" s="97"/>
      <c r="E165" s="58">
        <v>21869.05</v>
      </c>
      <c r="F165" s="131"/>
      <c r="G165" s="58"/>
    </row>
    <row r="166" spans="2:7" ht="12.75">
      <c r="B166" s="62"/>
      <c r="C166" s="249" t="s">
        <v>462</v>
      </c>
      <c r="D166" s="97"/>
      <c r="E166" s="58">
        <v>90</v>
      </c>
      <c r="F166" s="131"/>
      <c r="G166" s="58"/>
    </row>
    <row r="167" spans="2:7" ht="12.75">
      <c r="B167" s="62"/>
      <c r="C167" s="249" t="s">
        <v>798</v>
      </c>
      <c r="D167" s="97"/>
      <c r="E167" s="58">
        <v>78483.45</v>
      </c>
      <c r="F167" s="131"/>
      <c r="G167" s="58"/>
    </row>
    <row r="168" spans="2:7" ht="12.75">
      <c r="B168" s="62"/>
      <c r="C168" s="102"/>
      <c r="D168" s="97"/>
      <c r="E168" s="127">
        <f>SUM(E119:E167)</f>
        <v>935462.9</v>
      </c>
      <c r="F168" s="131"/>
      <c r="G168" s="127">
        <f>SUM(G118:G166)</f>
        <v>290659.25</v>
      </c>
    </row>
    <row r="169" spans="2:8" ht="13.5" thickBot="1">
      <c r="B169" s="271" t="s">
        <v>76</v>
      </c>
      <c r="C169" s="272"/>
      <c r="D169" s="151"/>
      <c r="E169" s="61">
        <f>E168+E117</f>
        <v>1226933.73</v>
      </c>
      <c r="F169" s="126"/>
      <c r="G169" s="61">
        <f>G168+G117</f>
        <v>458579.08999999997</v>
      </c>
      <c r="H169" s="75"/>
    </row>
    <row r="170" spans="2:8" ht="13.5" thickTop="1">
      <c r="B170" s="239"/>
      <c r="C170" s="240"/>
      <c r="D170" s="98"/>
      <c r="E170" s="60"/>
      <c r="F170" s="35"/>
      <c r="G170" s="60"/>
      <c r="H170" s="75"/>
    </row>
    <row r="171" spans="2:8" ht="12.75">
      <c r="B171" s="239"/>
      <c r="C171" s="240"/>
      <c r="D171" s="98"/>
      <c r="E171" s="60"/>
      <c r="F171" s="35"/>
      <c r="G171" s="60"/>
      <c r="H171" s="75"/>
    </row>
    <row r="172" spans="2:7" ht="12.75">
      <c r="B172" s="43" t="s">
        <v>652</v>
      </c>
      <c r="C172" s="97"/>
      <c r="D172" s="97"/>
      <c r="E172" s="58"/>
      <c r="F172" s="131"/>
      <c r="G172" s="87"/>
    </row>
    <row r="173" spans="2:7" ht="12.75">
      <c r="B173" s="43" t="s">
        <v>62</v>
      </c>
      <c r="C173" s="97"/>
      <c r="D173" s="97"/>
      <c r="E173" s="58"/>
      <c r="F173" s="131"/>
      <c r="G173" s="87"/>
    </row>
    <row r="174" spans="2:7" ht="12.75">
      <c r="B174" s="42" t="s">
        <v>465</v>
      </c>
      <c r="C174" s="97"/>
      <c r="D174" s="97"/>
      <c r="E174" s="58">
        <v>1376100</v>
      </c>
      <c r="F174" s="131"/>
      <c r="G174" s="87"/>
    </row>
    <row r="175" spans="2:7" ht="12.75">
      <c r="B175" s="62" t="s">
        <v>77</v>
      </c>
      <c r="C175" s="97"/>
      <c r="D175" s="93"/>
      <c r="E175" s="58"/>
      <c r="F175" s="131"/>
      <c r="G175" s="58">
        <v>149075</v>
      </c>
    </row>
    <row r="176" spans="2:7" ht="12.75">
      <c r="B176" s="62" t="s">
        <v>78</v>
      </c>
      <c r="C176" s="97"/>
      <c r="D176" s="93"/>
      <c r="E176" s="58"/>
      <c r="F176" s="131"/>
      <c r="G176" s="58">
        <v>128635</v>
      </c>
    </row>
    <row r="177" spans="2:7" ht="12.75">
      <c r="B177" s="62" t="s">
        <v>79</v>
      </c>
      <c r="C177" s="97"/>
      <c r="D177" s="93"/>
      <c r="E177" s="58">
        <v>459199.3</v>
      </c>
      <c r="F177" s="131"/>
      <c r="G177" s="58">
        <v>793625.6</v>
      </c>
    </row>
    <row r="178" spans="2:8" ht="12.75">
      <c r="B178" s="62" t="s">
        <v>80</v>
      </c>
      <c r="C178" s="97"/>
      <c r="D178" s="93"/>
      <c r="E178" s="58">
        <v>125000</v>
      </c>
      <c r="F178" s="131"/>
      <c r="G178" s="58">
        <v>174750</v>
      </c>
      <c r="H178" s="75"/>
    </row>
    <row r="179" spans="2:7" ht="12.75">
      <c r="B179" s="62" t="s">
        <v>81</v>
      </c>
      <c r="C179" s="97"/>
      <c r="D179" s="93"/>
      <c r="E179" s="58"/>
      <c r="F179" s="131"/>
      <c r="G179" s="58">
        <v>1392835</v>
      </c>
    </row>
    <row r="180" spans="2:7" ht="12.75">
      <c r="B180" s="62" t="s">
        <v>82</v>
      </c>
      <c r="C180" s="97"/>
      <c r="D180" s="93"/>
      <c r="E180" s="58">
        <v>149472</v>
      </c>
      <c r="F180" s="131"/>
      <c r="G180" s="58">
        <v>165306</v>
      </c>
    </row>
    <row r="181" spans="2:7" ht="12.75">
      <c r="B181" s="62" t="s">
        <v>463</v>
      </c>
      <c r="C181" s="97"/>
      <c r="D181" s="93"/>
      <c r="E181" s="58">
        <v>261733</v>
      </c>
      <c r="F181" s="131"/>
      <c r="G181" s="58"/>
    </row>
    <row r="182" spans="2:7" ht="12.75">
      <c r="B182" s="62" t="s">
        <v>464</v>
      </c>
      <c r="C182" s="97"/>
      <c r="D182" s="93"/>
      <c r="E182" s="58">
        <v>491046</v>
      </c>
      <c r="F182" s="131"/>
      <c r="G182" s="58"/>
    </row>
    <row r="183" spans="2:8" ht="12.75">
      <c r="B183" s="62" t="s">
        <v>287</v>
      </c>
      <c r="C183" s="97"/>
      <c r="D183" s="93"/>
      <c r="E183" s="88">
        <v>39600</v>
      </c>
      <c r="F183" s="35"/>
      <c r="G183" s="88">
        <v>30000</v>
      </c>
      <c r="H183" s="75"/>
    </row>
    <row r="184" spans="2:8" ht="12.75">
      <c r="B184" s="62"/>
      <c r="C184" s="97"/>
      <c r="D184" s="97"/>
      <c r="E184" s="127">
        <f>SUM(E174:E183)</f>
        <v>2902150.3</v>
      </c>
      <c r="F184" s="35"/>
      <c r="G184" s="127">
        <f>SUM(G175:G183)</f>
        <v>2834226.6</v>
      </c>
      <c r="H184" s="75"/>
    </row>
    <row r="185" spans="2:8" ht="13.5" thickBot="1">
      <c r="B185" s="243"/>
      <c r="C185" s="244"/>
      <c r="D185" s="244"/>
      <c r="E185" s="129"/>
      <c r="F185" s="251"/>
      <c r="G185" s="129"/>
      <c r="H185" s="75"/>
    </row>
    <row r="186" spans="2:8" ht="13.5" thickBot="1">
      <c r="B186" s="254"/>
      <c r="C186" s="173"/>
      <c r="D186" s="187"/>
      <c r="E186" s="255"/>
      <c r="F186" s="166"/>
      <c r="G186" s="255"/>
      <c r="H186" s="75"/>
    </row>
    <row r="187" spans="2:8" ht="12.75">
      <c r="B187" s="154"/>
      <c r="C187" s="174"/>
      <c r="D187" s="97"/>
      <c r="E187" s="205" t="s">
        <v>407</v>
      </c>
      <c r="F187" s="252"/>
      <c r="G187" s="253" t="s">
        <v>102</v>
      </c>
      <c r="H187" s="75"/>
    </row>
    <row r="188" spans="2:7" ht="13.5" thickBot="1">
      <c r="B188" s="43" t="s">
        <v>653</v>
      </c>
      <c r="C188" s="97"/>
      <c r="D188" s="97"/>
      <c r="E188" s="86" t="s">
        <v>20</v>
      </c>
      <c r="F188" s="184"/>
      <c r="G188" s="47" t="s">
        <v>20</v>
      </c>
    </row>
    <row r="189" spans="2:7" ht="12.75">
      <c r="B189" s="43" t="s">
        <v>63</v>
      </c>
      <c r="C189" s="97"/>
      <c r="D189" s="97"/>
      <c r="E189" s="58"/>
      <c r="F189" s="87"/>
      <c r="G189" s="58"/>
    </row>
    <row r="190" spans="2:7" ht="12.75">
      <c r="B190" s="62" t="s">
        <v>83</v>
      </c>
      <c r="C190" s="97"/>
      <c r="D190" s="97"/>
      <c r="E190" s="58">
        <v>660758.76</v>
      </c>
      <c r="F190" s="87"/>
      <c r="G190" s="58">
        <v>829090.24</v>
      </c>
    </row>
    <row r="191" spans="2:7" ht="12.75">
      <c r="B191" s="62" t="s">
        <v>84</v>
      </c>
      <c r="C191" s="97"/>
      <c r="D191" s="98" t="s">
        <v>672</v>
      </c>
      <c r="E191" s="58">
        <f>'Annexure '!E848</f>
        <v>252165</v>
      </c>
      <c r="F191" s="87"/>
      <c r="G191" s="58">
        <f>'Annexure '!G848</f>
        <v>177761</v>
      </c>
    </row>
    <row r="192" spans="2:7" ht="13.5" thickBot="1">
      <c r="B192" s="62"/>
      <c r="C192" s="97"/>
      <c r="D192" s="98"/>
      <c r="E192" s="129">
        <f>SUM(E190:E191)</f>
        <v>912923.76</v>
      </c>
      <c r="F192" s="130"/>
      <c r="G192" s="129">
        <f>SUM(G190:G191)</f>
        <v>1006851.24</v>
      </c>
    </row>
    <row r="193" spans="2:7" ht="12.75">
      <c r="B193" s="62"/>
      <c r="C193" s="97"/>
      <c r="D193" s="98"/>
      <c r="E193" s="60"/>
      <c r="F193" s="87"/>
      <c r="G193" s="60"/>
    </row>
    <row r="194" spans="2:7" ht="12.75">
      <c r="B194" s="43" t="s">
        <v>654</v>
      </c>
      <c r="C194" s="97"/>
      <c r="D194" s="97"/>
      <c r="E194" s="58"/>
      <c r="F194" s="87"/>
      <c r="G194" s="58"/>
    </row>
    <row r="195" spans="2:7" ht="12.75">
      <c r="B195" s="43" t="s">
        <v>681</v>
      </c>
      <c r="C195" s="97"/>
      <c r="D195" s="97"/>
      <c r="E195" s="58"/>
      <c r="F195" s="87"/>
      <c r="G195" s="58"/>
    </row>
    <row r="196" spans="2:7" ht="12.75">
      <c r="B196" s="62" t="s">
        <v>85</v>
      </c>
      <c r="C196" s="97"/>
      <c r="D196" s="97"/>
      <c r="E196" s="58">
        <v>3179706</v>
      </c>
      <c r="F196" s="87"/>
      <c r="G196" s="58">
        <v>1970731</v>
      </c>
    </row>
    <row r="197" spans="2:7" ht="12.75">
      <c r="B197" s="62" t="s">
        <v>684</v>
      </c>
      <c r="C197" s="97"/>
      <c r="D197" s="98" t="s">
        <v>683</v>
      </c>
      <c r="E197" s="58">
        <f>'Annexure '!E868</f>
        <v>2330299.8</v>
      </c>
      <c r="F197" s="87"/>
      <c r="G197" s="58">
        <f>'Annexure '!G868</f>
        <v>561780.95</v>
      </c>
    </row>
    <row r="198" spans="2:7" ht="12.75">
      <c r="B198" s="62" t="s">
        <v>290</v>
      </c>
      <c r="C198" s="97"/>
      <c r="D198" s="97"/>
      <c r="E198" s="58"/>
      <c r="F198" s="87"/>
      <c r="G198" s="58">
        <v>400</v>
      </c>
    </row>
    <row r="199" spans="2:7" ht="13.5" thickBot="1">
      <c r="B199" s="62"/>
      <c r="C199" s="97"/>
      <c r="D199" s="97"/>
      <c r="E199" s="61">
        <f>SUM(E196:E198)</f>
        <v>5510005.8</v>
      </c>
      <c r="F199" s="87"/>
      <c r="G199" s="61">
        <f>G196+G197+G198</f>
        <v>2532911.95</v>
      </c>
    </row>
    <row r="200" spans="2:7" ht="13.5" thickTop="1">
      <c r="B200" s="43" t="s">
        <v>655</v>
      </c>
      <c r="C200" s="97"/>
      <c r="D200" s="97"/>
      <c r="E200" s="58"/>
      <c r="F200" s="87"/>
      <c r="G200" s="87"/>
    </row>
    <row r="201" spans="2:7" ht="12.75">
      <c r="B201" s="43" t="s">
        <v>682</v>
      </c>
      <c r="C201" s="97"/>
      <c r="D201" s="97"/>
      <c r="E201" s="58"/>
      <c r="F201" s="87"/>
      <c r="G201" s="87"/>
    </row>
    <row r="202" spans="2:7" ht="12.75">
      <c r="B202" s="62" t="s">
        <v>107</v>
      </c>
      <c r="C202" s="97"/>
      <c r="D202" s="238"/>
      <c r="E202" s="58">
        <v>266577</v>
      </c>
      <c r="F202" s="58"/>
      <c r="G202" s="58">
        <v>158420</v>
      </c>
    </row>
    <row r="203" spans="2:7" ht="12.75">
      <c r="B203" s="62" t="s">
        <v>391</v>
      </c>
      <c r="C203" s="97"/>
      <c r="D203" s="97"/>
      <c r="E203" s="58">
        <v>69066</v>
      </c>
      <c r="F203" s="58"/>
      <c r="G203" s="58">
        <v>58324</v>
      </c>
    </row>
    <row r="204" spans="2:7" ht="12.75">
      <c r="B204" s="188" t="s">
        <v>392</v>
      </c>
      <c r="C204" s="189"/>
      <c r="D204" s="97"/>
      <c r="E204" s="58">
        <f>3303+139+5</f>
        <v>3447</v>
      </c>
      <c r="F204" s="58"/>
      <c r="G204" s="58">
        <v>341</v>
      </c>
    </row>
    <row r="205" spans="2:7" ht="12.75">
      <c r="B205" s="62" t="s">
        <v>108</v>
      </c>
      <c r="C205" s="97"/>
      <c r="D205" s="97"/>
      <c r="E205" s="58">
        <v>4800</v>
      </c>
      <c r="F205" s="58"/>
      <c r="G205" s="58">
        <v>600</v>
      </c>
    </row>
    <row r="206" spans="2:7" ht="12.75">
      <c r="B206" s="62" t="s">
        <v>466</v>
      </c>
      <c r="C206" s="97"/>
      <c r="D206" s="97"/>
      <c r="E206" s="58">
        <v>2110</v>
      </c>
      <c r="F206" s="58"/>
      <c r="G206" s="58"/>
    </row>
    <row r="207" spans="2:7" ht="12.75">
      <c r="B207" s="62" t="s">
        <v>467</v>
      </c>
      <c r="C207" s="97"/>
      <c r="D207" s="97"/>
      <c r="E207" s="58">
        <v>6570</v>
      </c>
      <c r="F207" s="58"/>
      <c r="G207" s="58"/>
    </row>
    <row r="208" spans="2:8" ht="12.75">
      <c r="B208" s="62" t="s">
        <v>109</v>
      </c>
      <c r="C208" s="97"/>
      <c r="D208" s="97"/>
      <c r="E208" s="58"/>
      <c r="F208" s="58"/>
      <c r="G208" s="58">
        <v>6300</v>
      </c>
      <c r="H208" s="75"/>
    </row>
    <row r="209" spans="2:7" ht="12.75">
      <c r="B209" s="62" t="s">
        <v>468</v>
      </c>
      <c r="C209" s="97"/>
      <c r="D209" s="97"/>
      <c r="E209" s="58">
        <v>71623</v>
      </c>
      <c r="F209" s="58"/>
      <c r="G209" s="58"/>
    </row>
    <row r="210" spans="2:7" ht="12.75">
      <c r="B210" s="62" t="s">
        <v>288</v>
      </c>
      <c r="C210" s="97"/>
      <c r="D210" s="97"/>
      <c r="E210" s="58"/>
      <c r="F210" s="58"/>
      <c r="G210" s="58">
        <v>8851</v>
      </c>
    </row>
    <row r="211" spans="2:7" ht="12.75">
      <c r="B211" s="62" t="s">
        <v>289</v>
      </c>
      <c r="C211" s="97"/>
      <c r="D211" s="97"/>
      <c r="E211" s="58"/>
      <c r="F211" s="87"/>
      <c r="G211" s="88">
        <v>7308</v>
      </c>
    </row>
    <row r="212" spans="2:7" ht="12.75">
      <c r="B212" s="62" t="s">
        <v>291</v>
      </c>
      <c r="C212" s="97"/>
      <c r="D212" s="109"/>
      <c r="E212" s="58"/>
      <c r="F212" s="58">
        <v>1825</v>
      </c>
      <c r="G212" s="58"/>
    </row>
    <row r="213" spans="2:7" ht="12.75">
      <c r="B213" s="62" t="s">
        <v>355</v>
      </c>
      <c r="C213" s="97"/>
      <c r="D213" s="109"/>
      <c r="E213" s="58">
        <f>D212+D213</f>
        <v>0</v>
      </c>
      <c r="F213" s="58">
        <v>-904</v>
      </c>
      <c r="G213" s="58">
        <f>F212+F213</f>
        <v>921</v>
      </c>
    </row>
    <row r="214" spans="2:7" ht="13.5" thickBot="1">
      <c r="B214" s="62"/>
      <c r="C214" s="97"/>
      <c r="D214" s="97"/>
      <c r="E214" s="61">
        <f>SUM(E202:E213)</f>
        <v>424193</v>
      </c>
      <c r="F214" s="87"/>
      <c r="G214" s="61">
        <f>SUM(G202:G213)</f>
        <v>241065</v>
      </c>
    </row>
    <row r="215" spans="2:7" ht="13.5" thickTop="1">
      <c r="B215" s="43" t="s">
        <v>656</v>
      </c>
      <c r="C215" s="97"/>
      <c r="D215" s="97"/>
      <c r="E215" s="58"/>
      <c r="F215" s="87"/>
      <c r="G215" s="87"/>
    </row>
    <row r="216" spans="2:7" ht="12.75">
      <c r="B216" s="43" t="s">
        <v>64</v>
      </c>
      <c r="C216" s="98"/>
      <c r="D216" s="97"/>
      <c r="E216" s="58"/>
      <c r="F216" s="87"/>
      <c r="G216" s="87"/>
    </row>
    <row r="217" spans="2:7" ht="12.75">
      <c r="B217" s="62" t="s">
        <v>77</v>
      </c>
      <c r="C217" s="97"/>
      <c r="D217" s="98" t="s">
        <v>98</v>
      </c>
      <c r="E217" s="58">
        <f>'Annexure '!E176</f>
        <v>159282</v>
      </c>
      <c r="F217" s="87"/>
      <c r="G217" s="58">
        <f>'Annexure '!G177</f>
        <v>149075</v>
      </c>
    </row>
    <row r="218" spans="2:7" ht="12.75">
      <c r="B218" s="62" t="s">
        <v>639</v>
      </c>
      <c r="C218" s="97"/>
      <c r="D218" s="98" t="s">
        <v>99</v>
      </c>
      <c r="E218" s="58">
        <f>'Annexure '!E204</f>
        <v>268973.15</v>
      </c>
      <c r="F218" s="87"/>
      <c r="G218" s="58">
        <f>'Annexure '!G204</f>
        <v>80199</v>
      </c>
    </row>
    <row r="219" spans="2:7" ht="12.75">
      <c r="B219" s="62" t="s">
        <v>79</v>
      </c>
      <c r="C219" s="97"/>
      <c r="D219" s="98" t="s">
        <v>100</v>
      </c>
      <c r="E219" s="58">
        <f>'Annexure '!E244</f>
        <v>820131</v>
      </c>
      <c r="F219" s="87"/>
      <c r="G219" s="58">
        <f>'Annexure '!G244</f>
        <v>543501</v>
      </c>
    </row>
    <row r="220" spans="2:7" ht="12.75">
      <c r="B220" s="62" t="s">
        <v>80</v>
      </c>
      <c r="C220" s="97"/>
      <c r="D220" s="98" t="s">
        <v>101</v>
      </c>
      <c r="E220" s="58">
        <f>'Annexure '!E254</f>
        <v>143681.25</v>
      </c>
      <c r="F220" s="87"/>
      <c r="G220" s="58">
        <f>'Annexure '!G254</f>
        <v>156068.75</v>
      </c>
    </row>
    <row r="221" spans="2:7" ht="12.75">
      <c r="B221" s="62" t="s">
        <v>81</v>
      </c>
      <c r="C221" s="97"/>
      <c r="D221" s="98" t="s">
        <v>156</v>
      </c>
      <c r="E221" s="58">
        <f>'Annexure '!E313</f>
        <v>0</v>
      </c>
      <c r="F221" s="87"/>
      <c r="G221" s="58">
        <f>'Annexure '!G313</f>
        <v>1129539.4</v>
      </c>
    </row>
    <row r="222" spans="2:7" ht="12.75">
      <c r="B222" s="62" t="s">
        <v>82</v>
      </c>
      <c r="C222" s="97"/>
      <c r="D222" s="98" t="s">
        <v>163</v>
      </c>
      <c r="E222" s="58">
        <f>'Annexure '!E346</f>
        <v>159078.25</v>
      </c>
      <c r="F222" s="87"/>
      <c r="G222" s="58">
        <f>'Annexure '!G346</f>
        <v>155500.75</v>
      </c>
    </row>
    <row r="223" spans="2:8" ht="12.75">
      <c r="B223" s="62" t="s">
        <v>496</v>
      </c>
      <c r="C223" s="97"/>
      <c r="D223" s="98" t="s">
        <v>195</v>
      </c>
      <c r="E223" s="58">
        <f>'Annexure '!E357</f>
        <v>48848</v>
      </c>
      <c r="F223" s="87"/>
      <c r="G223" s="58">
        <f>'Annexure '!G359</f>
        <v>0</v>
      </c>
      <c r="H223" s="75"/>
    </row>
    <row r="224" spans="2:7" ht="12.75">
      <c r="B224" s="62" t="s">
        <v>463</v>
      </c>
      <c r="C224" s="97"/>
      <c r="D224" s="98" t="s">
        <v>491</v>
      </c>
      <c r="E224" s="58">
        <f>'Annexure '!E515</f>
        <v>168054</v>
      </c>
      <c r="F224" s="87"/>
      <c r="G224" s="58"/>
    </row>
    <row r="225" spans="2:7" ht="12.75">
      <c r="B225" s="267" t="s">
        <v>464</v>
      </c>
      <c r="C225" s="268"/>
      <c r="D225" s="148" t="s">
        <v>497</v>
      </c>
      <c r="E225" s="58">
        <f>'Annexure '!E522</f>
        <v>25890</v>
      </c>
      <c r="F225" s="87"/>
      <c r="G225" s="58"/>
    </row>
    <row r="226" spans="2:7" ht="12.75">
      <c r="B226" s="62" t="s">
        <v>297</v>
      </c>
      <c r="C226" s="97"/>
      <c r="D226" s="98" t="s">
        <v>298</v>
      </c>
      <c r="E226" s="58">
        <f>'Annexure '!E447</f>
        <v>0</v>
      </c>
      <c r="F226" s="87"/>
      <c r="G226" s="58">
        <f>'Annexure '!G447</f>
        <v>68100</v>
      </c>
    </row>
    <row r="227" spans="2:7" ht="12.75">
      <c r="B227" s="62" t="s">
        <v>348</v>
      </c>
      <c r="C227" s="97"/>
      <c r="D227" s="98" t="str">
        <f>'Annexure '!B525</f>
        <v>Annexure - 24</v>
      </c>
      <c r="E227" s="58">
        <f>'Annexure '!E559</f>
        <v>1273006.75</v>
      </c>
      <c r="F227" s="87"/>
      <c r="G227" s="58">
        <f>'Annexure '!G559</f>
        <v>0</v>
      </c>
    </row>
    <row r="228" spans="2:7" ht="12.75">
      <c r="B228" s="62" t="s">
        <v>308</v>
      </c>
      <c r="C228" s="97"/>
      <c r="D228" s="98" t="s">
        <v>307</v>
      </c>
      <c r="E228" s="58">
        <f>'Annexure '!E451</f>
        <v>0</v>
      </c>
      <c r="F228" s="87"/>
      <c r="G228" s="58">
        <f>'Annexure '!G451</f>
        <v>30000</v>
      </c>
    </row>
    <row r="229" spans="2:8" ht="13.5" thickBot="1">
      <c r="B229" s="45"/>
      <c r="C229" s="97"/>
      <c r="D229" s="179"/>
      <c r="E229" s="124">
        <f>SUM(E217:E228)</f>
        <v>3066944.4</v>
      </c>
      <c r="F229" s="179"/>
      <c r="G229" s="124">
        <f>SUM(G217:G228)</f>
        <v>2311983.9</v>
      </c>
      <c r="H229" s="75"/>
    </row>
    <row r="230" spans="2:7" ht="13.5" thickTop="1">
      <c r="B230" s="62"/>
      <c r="C230" s="97"/>
      <c r="D230" s="97"/>
      <c r="E230" s="87"/>
      <c r="F230" s="58"/>
      <c r="G230" s="87"/>
    </row>
    <row r="231" spans="2:7" ht="12.75">
      <c r="B231" s="43" t="s">
        <v>657</v>
      </c>
      <c r="C231" s="97"/>
      <c r="D231" s="109"/>
      <c r="E231" s="87"/>
      <c r="F231" s="87"/>
      <c r="G231" s="87"/>
    </row>
    <row r="232" spans="2:7" ht="12.75">
      <c r="B232" s="43" t="s">
        <v>65</v>
      </c>
      <c r="C232" s="97"/>
      <c r="D232" s="98" t="s">
        <v>197</v>
      </c>
      <c r="E232" s="58">
        <f>'Annexure '!E398</f>
        <v>684305.5</v>
      </c>
      <c r="F232" s="87"/>
      <c r="G232" s="58">
        <f>'Annexure '!G391</f>
        <v>445071.5</v>
      </c>
    </row>
    <row r="233" spans="1:8" ht="12.75">
      <c r="A233" s="131"/>
      <c r="B233" s="62" t="s">
        <v>83</v>
      </c>
      <c r="C233" s="97"/>
      <c r="D233" s="98" t="s">
        <v>198</v>
      </c>
      <c r="E233" s="58">
        <f>'Annexure '!E436</f>
        <v>394108</v>
      </c>
      <c r="F233" s="87"/>
      <c r="G233" s="58">
        <f>'Annexure '!G436</f>
        <v>288789.45</v>
      </c>
      <c r="H233" s="75"/>
    </row>
    <row r="234" spans="1:8" ht="13.5" thickBot="1">
      <c r="A234" s="131"/>
      <c r="B234" s="62" t="s">
        <v>84</v>
      </c>
      <c r="C234" s="97"/>
      <c r="D234" s="97"/>
      <c r="E234" s="61">
        <f>SUM(E232:E233)</f>
        <v>1078413.5</v>
      </c>
      <c r="F234" s="87"/>
      <c r="G234" s="61">
        <f>SUM(G232:G233)</f>
        <v>733860.95</v>
      </c>
      <c r="H234" s="75"/>
    </row>
    <row r="235" spans="1:8" ht="13.5" thickTop="1">
      <c r="A235" s="131"/>
      <c r="B235" s="62"/>
      <c r="C235" s="97"/>
      <c r="D235" s="109"/>
      <c r="E235" s="87"/>
      <c r="F235" s="87"/>
      <c r="G235" s="87"/>
      <c r="H235" s="75"/>
    </row>
    <row r="236" spans="1:8" ht="12.75">
      <c r="A236" s="131"/>
      <c r="B236" s="62"/>
      <c r="C236" s="97"/>
      <c r="D236" s="109"/>
      <c r="E236" s="87"/>
      <c r="F236" s="87"/>
      <c r="G236" s="87"/>
      <c r="H236" s="75"/>
    </row>
    <row r="237" spans="1:8" ht="12.75">
      <c r="A237" s="131"/>
      <c r="B237" s="43" t="s">
        <v>658</v>
      </c>
      <c r="C237" s="97"/>
      <c r="D237" s="97"/>
      <c r="E237" s="87"/>
      <c r="F237" s="87"/>
      <c r="G237" s="87"/>
      <c r="H237" s="75"/>
    </row>
    <row r="238" spans="1:8" ht="12.75">
      <c r="A238" s="131"/>
      <c r="B238" s="43" t="s">
        <v>66</v>
      </c>
      <c r="C238" s="97"/>
      <c r="D238" s="97"/>
      <c r="E238" s="87"/>
      <c r="F238" s="87"/>
      <c r="G238" s="87"/>
      <c r="H238" s="75"/>
    </row>
    <row r="239" spans="1:8" ht="12.75">
      <c r="A239" s="131"/>
      <c r="B239" s="95"/>
      <c r="C239" s="97" t="s">
        <v>510</v>
      </c>
      <c r="D239" s="98" t="s">
        <v>516</v>
      </c>
      <c r="E239" s="58">
        <f>'Annexure '!E693</f>
        <v>3634142.7800000003</v>
      </c>
      <c r="F239" s="87"/>
      <c r="G239" s="58">
        <f>'Annexure '!G693-18132</f>
        <v>2719794.6</v>
      </c>
      <c r="H239" s="75"/>
    </row>
    <row r="240" spans="1:7" ht="12.75">
      <c r="A240" s="131"/>
      <c r="B240" s="95"/>
      <c r="C240" s="97" t="s">
        <v>511</v>
      </c>
      <c r="D240" s="98" t="s">
        <v>517</v>
      </c>
      <c r="E240" s="58">
        <f>'Annexure '!E748</f>
        <v>1124525.75</v>
      </c>
      <c r="F240" s="87"/>
      <c r="G240" s="58">
        <f>'Annexure '!G748</f>
        <v>821865.05</v>
      </c>
    </row>
    <row r="241" spans="1:7" ht="12.75">
      <c r="A241" s="131"/>
      <c r="B241" s="95"/>
      <c r="C241" s="97" t="s">
        <v>512</v>
      </c>
      <c r="D241" s="98" t="s">
        <v>518</v>
      </c>
      <c r="E241" s="58">
        <f>'Annexure '!E768</f>
        <v>155544</v>
      </c>
      <c r="F241" s="87"/>
      <c r="G241" s="58">
        <f>'Annexure '!G768</f>
        <v>39922</v>
      </c>
    </row>
    <row r="242" spans="2:7" ht="12.75">
      <c r="B242" s="95"/>
      <c r="C242" s="97" t="s">
        <v>513</v>
      </c>
      <c r="D242" s="98" t="s">
        <v>519</v>
      </c>
      <c r="E242" s="58">
        <f>'Annexure '!E798</f>
        <v>399215.75</v>
      </c>
      <c r="F242" s="87"/>
      <c r="G242" s="58">
        <f>'Annexure '!G798</f>
        <v>23154.7</v>
      </c>
    </row>
    <row r="243" spans="2:7" ht="12.75">
      <c r="B243" s="95"/>
      <c r="C243" s="97" t="s">
        <v>514</v>
      </c>
      <c r="D243" s="98" t="s">
        <v>520</v>
      </c>
      <c r="E243" s="58">
        <f>'Annexure '!E816</f>
        <v>113709</v>
      </c>
      <c r="F243" s="87"/>
      <c r="G243" s="58">
        <f>'Annexure '!G816</f>
        <v>17700</v>
      </c>
    </row>
    <row r="244" spans="1:7" ht="12.75">
      <c r="A244" s="131"/>
      <c r="B244" s="95"/>
      <c r="C244" s="97" t="s">
        <v>515</v>
      </c>
      <c r="D244" s="98" t="s">
        <v>795</v>
      </c>
      <c r="E244" s="58">
        <f>'Annexure '!E835</f>
        <v>570968</v>
      </c>
      <c r="F244" s="87"/>
      <c r="G244" s="58">
        <f>'Annexure '!G835</f>
        <v>20260.5</v>
      </c>
    </row>
    <row r="245" spans="1:7" ht="13.5" thickBot="1">
      <c r="A245" s="131"/>
      <c r="B245" s="62"/>
      <c r="C245" s="97"/>
      <c r="D245" s="97"/>
      <c r="E245" s="61">
        <f>SUM(E239:E244)</f>
        <v>5998105.28</v>
      </c>
      <c r="F245" s="87"/>
      <c r="G245" s="127">
        <f>G239+G240+G241+G242+G243+G244</f>
        <v>3642696.8500000006</v>
      </c>
    </row>
    <row r="246" spans="1:7" ht="13.5" thickTop="1">
      <c r="A246" s="131"/>
      <c r="B246" s="62"/>
      <c r="C246" s="97"/>
      <c r="D246" s="97"/>
      <c r="E246" s="87"/>
      <c r="F246" s="62"/>
      <c r="G246" s="136"/>
    </row>
    <row r="247" spans="1:7" ht="12.75">
      <c r="A247" s="131"/>
      <c r="B247" s="62"/>
      <c r="C247" s="97"/>
      <c r="D247" s="97"/>
      <c r="E247" s="87"/>
      <c r="F247" s="62"/>
      <c r="G247" s="87"/>
    </row>
    <row r="248" spans="1:7" ht="13.5" thickBot="1">
      <c r="A248" s="155"/>
      <c r="B248" s="134"/>
      <c r="C248" s="143"/>
      <c r="D248" s="143"/>
      <c r="E248" s="130"/>
      <c r="F248" s="134"/>
      <c r="G248" s="130"/>
    </row>
  </sheetData>
  <sheetProtection/>
  <mergeCells count="10">
    <mergeCell ref="B147:C147"/>
    <mergeCell ref="B225:C225"/>
    <mergeCell ref="B165:C165"/>
    <mergeCell ref="B104:C104"/>
    <mergeCell ref="B134:C134"/>
    <mergeCell ref="B135:C135"/>
    <mergeCell ref="B137:C137"/>
    <mergeCell ref="B136:C136"/>
    <mergeCell ref="B146:C146"/>
    <mergeCell ref="B169:C169"/>
  </mergeCells>
  <printOptions/>
  <pageMargins left="0.17" right="0.17" top="1" bottom="1" header="0.5" footer="0.5"/>
  <pageSetup horizontalDpi="120" verticalDpi="120" orientation="portrait" paperSize="9" scale="74" r:id="rId1"/>
  <rowBreaks count="3" manualBreakCount="3">
    <brk id="58" max="6" man="1"/>
    <brk id="118" max="6" man="1"/>
    <brk id="1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874"/>
  <sheetViews>
    <sheetView zoomScalePageLayoutView="0" workbookViewId="0" topLeftCell="A150">
      <selection activeCell="E141" sqref="E141"/>
    </sheetView>
  </sheetViews>
  <sheetFormatPr defaultColWidth="9.140625" defaultRowHeight="12.75"/>
  <cols>
    <col min="1" max="1" width="2.140625" style="73" customWidth="1"/>
    <col min="2" max="2" width="12.7109375" style="73" customWidth="1"/>
    <col min="3" max="3" width="27.57421875" style="73" customWidth="1"/>
    <col min="4" max="4" width="14.140625" style="73" customWidth="1"/>
    <col min="5" max="5" width="15.57421875" style="73" bestFit="1" customWidth="1"/>
    <col min="6" max="6" width="9.8515625" style="73" customWidth="1"/>
    <col min="7" max="7" width="15.57421875" style="73" bestFit="1" customWidth="1"/>
    <col min="8" max="8" width="10.57421875" style="73" customWidth="1"/>
    <col min="9" max="9" width="9.140625" style="73" customWidth="1"/>
    <col min="10" max="10" width="9.57421875" style="73" bestFit="1" customWidth="1"/>
    <col min="11" max="11" width="10.140625" style="73" bestFit="1" customWidth="1"/>
    <col min="12" max="12" width="10.00390625" style="73" customWidth="1"/>
    <col min="13" max="16384" width="9.140625" style="73" customWidth="1"/>
  </cols>
  <sheetData>
    <row r="1" ht="12.75"/>
    <row r="2" spans="2:5" ht="12.75">
      <c r="B2" s="38" t="s">
        <v>110</v>
      </c>
      <c r="C2" s="38"/>
      <c r="D2" s="38"/>
      <c r="E2" s="38"/>
    </row>
    <row r="3" ht="13.5" thickBot="1"/>
    <row r="4" spans="2:8" ht="12.75">
      <c r="B4" s="39"/>
      <c r="C4" s="133"/>
      <c r="D4" s="82"/>
      <c r="E4" s="84" t="s">
        <v>407</v>
      </c>
      <c r="F4" s="84"/>
      <c r="G4" s="84" t="s">
        <v>102</v>
      </c>
      <c r="H4" s="66"/>
    </row>
    <row r="5" spans="2:8" ht="13.5" thickBot="1">
      <c r="B5" s="134"/>
      <c r="C5" s="40"/>
      <c r="D5" s="130"/>
      <c r="E5" s="85" t="s">
        <v>20</v>
      </c>
      <c r="F5" s="135"/>
      <c r="G5" s="90" t="s">
        <v>20</v>
      </c>
      <c r="H5" s="66"/>
    </row>
    <row r="6" spans="1:7" ht="12.75">
      <c r="A6" s="97"/>
      <c r="B6" s="76" t="s">
        <v>111</v>
      </c>
      <c r="C6" s="80"/>
      <c r="D6" s="87"/>
      <c r="E6" s="86"/>
      <c r="F6" s="87"/>
      <c r="G6" s="86"/>
    </row>
    <row r="7" spans="1:7" ht="12.75">
      <c r="A7" s="97"/>
      <c r="B7" s="43" t="s">
        <v>53</v>
      </c>
      <c r="C7" s="34"/>
      <c r="D7" s="83"/>
      <c r="E7" s="87"/>
      <c r="F7" s="87"/>
      <c r="G7" s="87"/>
    </row>
    <row r="8" spans="2:7" ht="12.75">
      <c r="B8" s="62" t="s">
        <v>202</v>
      </c>
      <c r="C8" s="131"/>
      <c r="D8" s="87"/>
      <c r="E8" s="58">
        <v>46382.63</v>
      </c>
      <c r="F8" s="87"/>
      <c r="G8" s="58">
        <v>36341.57</v>
      </c>
    </row>
    <row r="9" spans="2:7" ht="12.75">
      <c r="B9" s="42" t="s">
        <v>203</v>
      </c>
      <c r="C9" s="131"/>
      <c r="D9" s="87"/>
      <c r="E9" s="88">
        <f>23926.7+7518</f>
        <v>31444.7</v>
      </c>
      <c r="F9" s="87"/>
      <c r="G9" s="58">
        <v>13877.39</v>
      </c>
    </row>
    <row r="10" spans="1:8" ht="13.5" thickBot="1">
      <c r="A10" s="97"/>
      <c r="B10" s="42"/>
      <c r="C10" s="131"/>
      <c r="D10" s="87"/>
      <c r="E10" s="61">
        <f>E8+E9</f>
        <v>77827.33</v>
      </c>
      <c r="F10" s="89"/>
      <c r="G10" s="61">
        <f>G8+G9</f>
        <v>50218.96</v>
      </c>
      <c r="H10" s="75"/>
    </row>
    <row r="11" spans="1:7" ht="13.5" thickTop="1">
      <c r="A11" s="97"/>
      <c r="B11" s="43" t="s">
        <v>86</v>
      </c>
      <c r="C11" s="131"/>
      <c r="D11" s="87"/>
      <c r="E11" s="87"/>
      <c r="F11" s="87"/>
      <c r="G11" s="87"/>
    </row>
    <row r="12" spans="1:7" ht="12.75">
      <c r="A12" s="97"/>
      <c r="B12" s="43" t="s">
        <v>182</v>
      </c>
      <c r="C12" s="131"/>
      <c r="D12" s="87"/>
      <c r="E12" s="60"/>
      <c r="F12" s="87"/>
      <c r="G12" s="60"/>
    </row>
    <row r="13" spans="1:7" ht="12.75">
      <c r="A13" s="97"/>
      <c r="B13" s="78" t="s">
        <v>204</v>
      </c>
      <c r="C13" s="131"/>
      <c r="D13" s="87"/>
      <c r="E13" s="58">
        <v>27060</v>
      </c>
      <c r="F13" s="87"/>
      <c r="G13" s="58">
        <v>94271.5</v>
      </c>
    </row>
    <row r="14" spans="1:7" ht="12.75">
      <c r="A14" s="97"/>
      <c r="B14" s="78" t="s">
        <v>443</v>
      </c>
      <c r="C14" s="131"/>
      <c r="D14" s="87"/>
      <c r="E14" s="58">
        <v>69850</v>
      </c>
      <c r="F14" s="87"/>
      <c r="G14" s="87"/>
    </row>
    <row r="15" spans="1:7" ht="12.75">
      <c r="A15" s="97"/>
      <c r="B15" s="78" t="s">
        <v>208</v>
      </c>
      <c r="C15" s="131"/>
      <c r="D15" s="87"/>
      <c r="E15" s="58"/>
      <c r="F15" s="87"/>
      <c r="G15" s="58">
        <v>599</v>
      </c>
    </row>
    <row r="16" spans="1:7" ht="12.75">
      <c r="A16" s="97"/>
      <c r="B16" s="78" t="s">
        <v>209</v>
      </c>
      <c r="C16" s="131"/>
      <c r="D16" s="87"/>
      <c r="E16" s="58">
        <v>5219.83</v>
      </c>
      <c r="F16" s="87"/>
      <c r="G16" s="58">
        <v>3630.33</v>
      </c>
    </row>
    <row r="17" spans="1:7" ht="12.75">
      <c r="A17" s="97"/>
      <c r="B17" s="78" t="s">
        <v>211</v>
      </c>
      <c r="C17" s="131"/>
      <c r="D17" s="87"/>
      <c r="E17" s="88">
        <v>233</v>
      </c>
      <c r="F17" s="87"/>
      <c r="G17" s="88">
        <v>233</v>
      </c>
    </row>
    <row r="18" spans="1:8" ht="13.5" thickBot="1">
      <c r="A18" s="97"/>
      <c r="B18" s="42"/>
      <c r="C18" s="131"/>
      <c r="D18" s="87"/>
      <c r="E18" s="128">
        <f>SUM(E13:E17)</f>
        <v>102362.83</v>
      </c>
      <c r="F18" s="87"/>
      <c r="G18" s="61">
        <f>SUM(G13:G17)</f>
        <v>98733.83</v>
      </c>
      <c r="H18" s="75"/>
    </row>
    <row r="19" spans="1:9" ht="13.5" thickTop="1">
      <c r="A19" s="97"/>
      <c r="B19" s="43" t="s">
        <v>183</v>
      </c>
      <c r="C19" s="36"/>
      <c r="D19" s="87"/>
      <c r="E19" s="87"/>
      <c r="F19" s="87"/>
      <c r="G19" s="87"/>
      <c r="I19" s="131"/>
    </row>
    <row r="20" spans="2:9" ht="12.75">
      <c r="B20" s="43" t="s">
        <v>191</v>
      </c>
      <c r="C20" s="131"/>
      <c r="D20" s="87"/>
      <c r="E20" s="87"/>
      <c r="F20" s="87"/>
      <c r="G20" s="87"/>
      <c r="I20" s="131"/>
    </row>
    <row r="21" spans="2:9" ht="12.75">
      <c r="B21" s="43" t="s">
        <v>220</v>
      </c>
      <c r="C21" s="131"/>
      <c r="D21" s="87"/>
      <c r="E21" s="87"/>
      <c r="F21" s="87"/>
      <c r="G21" s="87"/>
      <c r="I21" s="131"/>
    </row>
    <row r="22" spans="2:9" ht="12.75">
      <c r="B22" s="62" t="s">
        <v>212</v>
      </c>
      <c r="C22" s="131"/>
      <c r="D22" s="87"/>
      <c r="E22" s="58">
        <v>60</v>
      </c>
      <c r="F22" s="87"/>
      <c r="G22" s="87">
        <v>7152</v>
      </c>
      <c r="I22" s="131"/>
    </row>
    <row r="23" spans="2:9" ht="12.75">
      <c r="B23" s="62" t="s">
        <v>213</v>
      </c>
      <c r="C23" s="131"/>
      <c r="D23" s="87"/>
      <c r="E23" s="87"/>
      <c r="F23" s="87"/>
      <c r="G23" s="87">
        <v>757.85</v>
      </c>
      <c r="I23" s="131"/>
    </row>
    <row r="24" spans="2:9" ht="12.75">
      <c r="B24" s="62" t="s">
        <v>214</v>
      </c>
      <c r="C24" s="131"/>
      <c r="D24" s="87"/>
      <c r="E24" s="58"/>
      <c r="F24" s="87"/>
      <c r="G24" s="58">
        <v>9</v>
      </c>
      <c r="I24" s="131"/>
    </row>
    <row r="25" spans="2:9" ht="12.75">
      <c r="B25" s="62" t="s">
        <v>416</v>
      </c>
      <c r="C25" s="131"/>
      <c r="D25" s="87"/>
      <c r="E25" s="58">
        <v>4</v>
      </c>
      <c r="F25" s="87"/>
      <c r="G25" s="87"/>
      <c r="I25" s="131"/>
    </row>
    <row r="26" spans="2:9" ht="12.75">
      <c r="B26" s="62" t="s">
        <v>215</v>
      </c>
      <c r="C26" s="131"/>
      <c r="D26" s="87"/>
      <c r="E26" s="87"/>
      <c r="F26" s="87"/>
      <c r="G26" s="87">
        <v>1546.75</v>
      </c>
      <c r="I26" s="131"/>
    </row>
    <row r="27" spans="2:9" ht="12.75">
      <c r="B27" s="62" t="s">
        <v>417</v>
      </c>
      <c r="C27" s="131"/>
      <c r="D27" s="87"/>
      <c r="E27" s="58">
        <v>23</v>
      </c>
      <c r="F27" s="87"/>
      <c r="G27" s="87"/>
      <c r="I27" s="131"/>
    </row>
    <row r="28" spans="2:9" ht="12.75">
      <c r="B28" s="62" t="s">
        <v>216</v>
      </c>
      <c r="C28" s="131"/>
      <c r="D28" s="87"/>
      <c r="E28" s="58"/>
      <c r="F28" s="58"/>
      <c r="G28" s="58">
        <v>178.5</v>
      </c>
      <c r="I28" s="131"/>
    </row>
    <row r="29" spans="2:9" ht="12.75">
      <c r="B29" s="62" t="s">
        <v>217</v>
      </c>
      <c r="C29" s="131"/>
      <c r="D29" s="87"/>
      <c r="E29" s="58">
        <v>927.5</v>
      </c>
      <c r="F29" s="58"/>
      <c r="G29" s="58">
        <v>1054</v>
      </c>
      <c r="I29" s="131"/>
    </row>
    <row r="30" spans="2:9" ht="12.75">
      <c r="B30" s="62" t="s">
        <v>218</v>
      </c>
      <c r="C30" s="131"/>
      <c r="D30" s="87"/>
      <c r="E30" s="58"/>
      <c r="F30" s="58"/>
      <c r="G30" s="58">
        <v>439.5</v>
      </c>
      <c r="I30" s="131"/>
    </row>
    <row r="31" spans="2:9" ht="12.75">
      <c r="B31" s="62" t="s">
        <v>219</v>
      </c>
      <c r="C31" s="131"/>
      <c r="D31" s="87"/>
      <c r="E31" s="58"/>
      <c r="F31" s="58"/>
      <c r="G31" s="58">
        <v>6</v>
      </c>
      <c r="I31" s="131"/>
    </row>
    <row r="32" spans="2:9" ht="12.75">
      <c r="B32" s="62" t="s">
        <v>230</v>
      </c>
      <c r="C32" s="131"/>
      <c r="D32" s="87"/>
      <c r="E32" s="58"/>
      <c r="F32" s="58"/>
      <c r="G32" s="58">
        <v>377.85</v>
      </c>
      <c r="I32" s="131"/>
    </row>
    <row r="33" spans="2:9" ht="12.75">
      <c r="B33" s="62" t="s">
        <v>225</v>
      </c>
      <c r="C33" s="131"/>
      <c r="D33" s="87"/>
      <c r="E33" s="58">
        <v>910</v>
      </c>
      <c r="F33" s="58"/>
      <c r="G33" s="58">
        <v>845</v>
      </c>
      <c r="I33" s="131"/>
    </row>
    <row r="34" spans="2:9" ht="12.75">
      <c r="B34" s="62" t="s">
        <v>226</v>
      </c>
      <c r="C34" s="131"/>
      <c r="D34" s="87"/>
      <c r="E34" s="58">
        <v>595.5</v>
      </c>
      <c r="F34" s="58"/>
      <c r="G34" s="58">
        <v>24.5</v>
      </c>
      <c r="I34" s="131"/>
    </row>
    <row r="35" spans="2:9" ht="12.75">
      <c r="B35" s="62" t="s">
        <v>227</v>
      </c>
      <c r="C35" s="131"/>
      <c r="D35" s="87"/>
      <c r="E35" s="58">
        <v>0.25</v>
      </c>
      <c r="F35" s="58"/>
      <c r="G35" s="58">
        <v>399.25</v>
      </c>
      <c r="I35" s="131"/>
    </row>
    <row r="36" spans="2:9" ht="12.75">
      <c r="B36" s="62" t="s">
        <v>228</v>
      </c>
      <c r="C36" s="131"/>
      <c r="D36" s="87"/>
      <c r="E36" s="58">
        <v>10000</v>
      </c>
      <c r="F36" s="58"/>
      <c r="G36" s="58">
        <v>10000</v>
      </c>
      <c r="I36" s="131"/>
    </row>
    <row r="37" spans="2:9" ht="12.75">
      <c r="B37" s="43" t="s">
        <v>221</v>
      </c>
      <c r="C37" s="131"/>
      <c r="D37" s="87"/>
      <c r="E37" s="58"/>
      <c r="F37" s="58"/>
      <c r="G37" s="58"/>
      <c r="I37" s="131"/>
    </row>
    <row r="38" spans="2:9" ht="12.75">
      <c r="B38" s="62" t="s">
        <v>222</v>
      </c>
      <c r="C38" s="131"/>
      <c r="D38" s="87"/>
      <c r="E38" s="58">
        <v>2103.95</v>
      </c>
      <c r="F38" s="58"/>
      <c r="G38" s="58">
        <v>1054.5</v>
      </c>
      <c r="I38" s="131"/>
    </row>
    <row r="39" spans="2:9" ht="12.75">
      <c r="B39" s="62" t="s">
        <v>223</v>
      </c>
      <c r="C39" s="131"/>
      <c r="D39" s="87"/>
      <c r="E39" s="58">
        <v>11</v>
      </c>
      <c r="F39" s="58"/>
      <c r="G39" s="58">
        <v>1</v>
      </c>
      <c r="I39" s="131"/>
    </row>
    <row r="40" spans="2:9" ht="12.75">
      <c r="B40" s="62" t="s">
        <v>224</v>
      </c>
      <c r="C40" s="131"/>
      <c r="D40" s="87"/>
      <c r="E40" s="58"/>
      <c r="F40" s="58"/>
      <c r="G40" s="58">
        <v>9.5</v>
      </c>
      <c r="I40" s="131"/>
    </row>
    <row r="41" spans="2:9" ht="12.75">
      <c r="B41" s="95" t="s">
        <v>229</v>
      </c>
      <c r="C41" s="131"/>
      <c r="D41" s="87"/>
      <c r="E41" s="58">
        <v>14002.75</v>
      </c>
      <c r="F41" s="58"/>
      <c r="G41" s="58">
        <v>805.75</v>
      </c>
      <c r="I41" s="131"/>
    </row>
    <row r="42" spans="2:9" ht="13.5" thickBot="1">
      <c r="B42" s="95" t="s">
        <v>418</v>
      </c>
      <c r="C42" s="131"/>
      <c r="D42" s="87"/>
      <c r="E42" s="58">
        <v>35.5</v>
      </c>
      <c r="F42" s="58"/>
      <c r="G42" s="58"/>
      <c r="I42" s="131"/>
    </row>
    <row r="43" spans="1:9" ht="13.5" thickBot="1">
      <c r="A43" s="136"/>
      <c r="B43" s="62"/>
      <c r="C43" s="97"/>
      <c r="D43" s="87"/>
      <c r="E43" s="61">
        <f>SUM(E22:E42)</f>
        <v>28673.45</v>
      </c>
      <c r="F43" s="58"/>
      <c r="G43" s="61">
        <f>SUM(G22:G41)</f>
        <v>24660.95</v>
      </c>
      <c r="H43" s="75"/>
      <c r="I43" s="131"/>
    </row>
    <row r="44" spans="1:9" ht="13.5" thickTop="1">
      <c r="A44" s="62"/>
      <c r="B44" s="41" t="s">
        <v>192</v>
      </c>
      <c r="C44" s="97"/>
      <c r="D44" s="87"/>
      <c r="E44" s="58"/>
      <c r="F44" s="58"/>
      <c r="G44" s="58"/>
      <c r="I44" s="131"/>
    </row>
    <row r="45" spans="1:9" ht="12.75">
      <c r="A45" s="62"/>
      <c r="B45" s="72" t="s">
        <v>231</v>
      </c>
      <c r="C45" s="97"/>
      <c r="D45" s="87"/>
      <c r="E45" s="58"/>
      <c r="F45" s="58"/>
      <c r="G45" s="58"/>
      <c r="I45" s="131"/>
    </row>
    <row r="46" spans="1:9" ht="12.75">
      <c r="A46" s="62"/>
      <c r="B46" s="95" t="s">
        <v>232</v>
      </c>
      <c r="C46" s="97"/>
      <c r="D46" s="87"/>
      <c r="E46" s="58"/>
      <c r="F46" s="58"/>
      <c r="G46" s="58">
        <v>5288.46</v>
      </c>
      <c r="I46" s="131"/>
    </row>
    <row r="47" spans="1:9" ht="12.75">
      <c r="A47" s="62"/>
      <c r="B47" s="95" t="s">
        <v>233</v>
      </c>
      <c r="C47" s="97"/>
      <c r="D47" s="87"/>
      <c r="E47" s="58">
        <v>773.12</v>
      </c>
      <c r="F47" s="58"/>
      <c r="G47" s="58">
        <v>14.36</v>
      </c>
      <c r="I47" s="131"/>
    </row>
    <row r="48" spans="1:9" ht="12.75">
      <c r="A48" s="62"/>
      <c r="B48" s="95" t="s">
        <v>234</v>
      </c>
      <c r="C48" s="97"/>
      <c r="D48" s="87"/>
      <c r="E48" s="58">
        <v>11697.78</v>
      </c>
      <c r="F48" s="58"/>
      <c r="G48" s="58">
        <v>324</v>
      </c>
      <c r="I48" s="131"/>
    </row>
    <row r="49" spans="1:9" ht="13.5" thickBot="1">
      <c r="A49" s="134"/>
      <c r="B49" s="95" t="s">
        <v>410</v>
      </c>
      <c r="C49" s="97"/>
      <c r="D49" s="87"/>
      <c r="E49" s="58"/>
      <c r="F49" s="58"/>
      <c r="G49" s="58"/>
      <c r="I49" s="131"/>
    </row>
    <row r="50" spans="1:9" ht="12.75">
      <c r="A50" s="133"/>
      <c r="B50" s="95" t="s">
        <v>235</v>
      </c>
      <c r="C50" s="97"/>
      <c r="D50" s="87"/>
      <c r="E50" s="58">
        <v>2500.26</v>
      </c>
      <c r="F50" s="58"/>
      <c r="G50" s="58">
        <v>1657.98</v>
      </c>
      <c r="I50" s="131"/>
    </row>
    <row r="51" spans="1:9" ht="12.75">
      <c r="A51" s="131"/>
      <c r="B51" s="95" t="s">
        <v>236</v>
      </c>
      <c r="C51" s="97"/>
      <c r="D51" s="87"/>
      <c r="E51" s="58"/>
      <c r="F51" s="58"/>
      <c r="G51" s="58">
        <v>41</v>
      </c>
      <c r="I51" s="131"/>
    </row>
    <row r="52" spans="1:9" ht="12.75">
      <c r="A52" s="131"/>
      <c r="B52" s="95" t="s">
        <v>237</v>
      </c>
      <c r="C52" s="97"/>
      <c r="D52" s="87"/>
      <c r="E52" s="58">
        <v>837</v>
      </c>
      <c r="F52" s="58"/>
      <c r="G52" s="58">
        <v>1353</v>
      </c>
      <c r="I52" s="131"/>
    </row>
    <row r="53" spans="1:9" ht="12.75">
      <c r="A53" s="131"/>
      <c r="B53" s="95" t="s">
        <v>238</v>
      </c>
      <c r="C53" s="97"/>
      <c r="D53" s="87"/>
      <c r="E53" s="58"/>
      <c r="F53" s="58"/>
      <c r="G53" s="58">
        <v>119</v>
      </c>
      <c r="I53" s="131"/>
    </row>
    <row r="54" spans="1:9" ht="12.75">
      <c r="A54" s="131"/>
      <c r="B54" s="95" t="s">
        <v>239</v>
      </c>
      <c r="C54" s="97"/>
      <c r="D54" s="87"/>
      <c r="E54" s="58"/>
      <c r="F54" s="58"/>
      <c r="G54" s="58">
        <v>802</v>
      </c>
      <c r="I54" s="131"/>
    </row>
    <row r="55" spans="1:9" ht="12.75">
      <c r="A55" s="131"/>
      <c r="B55" s="95" t="s">
        <v>240</v>
      </c>
      <c r="C55" s="97"/>
      <c r="D55" s="87"/>
      <c r="E55" s="58"/>
      <c r="F55" s="58"/>
      <c r="G55" s="58">
        <v>29718</v>
      </c>
      <c r="I55" s="131"/>
    </row>
    <row r="56" spans="1:9" ht="12.75">
      <c r="A56" s="131"/>
      <c r="B56" s="95" t="s">
        <v>411</v>
      </c>
      <c r="C56" s="97"/>
      <c r="D56" s="87"/>
      <c r="E56" s="58"/>
      <c r="F56" s="58"/>
      <c r="G56" s="58"/>
      <c r="I56" s="131"/>
    </row>
    <row r="57" spans="1:9" ht="12.75">
      <c r="A57" s="131"/>
      <c r="B57" s="95" t="s">
        <v>412</v>
      </c>
      <c r="C57" s="97"/>
      <c r="D57" s="87"/>
      <c r="E57" s="58">
        <v>75</v>
      </c>
      <c r="F57" s="58"/>
      <c r="G57" s="58"/>
      <c r="I57" s="131"/>
    </row>
    <row r="58" spans="1:9" ht="12.75">
      <c r="A58" s="131"/>
      <c r="B58" s="72" t="s">
        <v>241</v>
      </c>
      <c r="C58" s="97"/>
      <c r="D58" s="87"/>
      <c r="E58" s="58"/>
      <c r="F58" s="58"/>
      <c r="G58" s="58"/>
      <c r="I58" s="131"/>
    </row>
    <row r="59" spans="1:9" ht="12.75">
      <c r="A59" s="131"/>
      <c r="B59" s="95" t="s">
        <v>242</v>
      </c>
      <c r="C59" s="97"/>
      <c r="D59" s="87"/>
      <c r="E59" s="58">
        <v>126858.25</v>
      </c>
      <c r="F59" s="58"/>
      <c r="G59" s="58">
        <v>185</v>
      </c>
      <c r="I59" s="131"/>
    </row>
    <row r="60" spans="1:9" ht="12.75">
      <c r="A60" s="131"/>
      <c r="B60" s="95" t="s">
        <v>243</v>
      </c>
      <c r="C60" s="97"/>
      <c r="D60" s="87"/>
      <c r="E60" s="58"/>
      <c r="F60" s="58"/>
      <c r="G60" s="58">
        <v>17500</v>
      </c>
      <c r="I60" s="131"/>
    </row>
    <row r="61" spans="1:9" ht="12.75">
      <c r="A61" s="131"/>
      <c r="B61" s="95" t="s">
        <v>415</v>
      </c>
      <c r="C61" s="97"/>
      <c r="D61" s="87"/>
      <c r="E61" s="58"/>
      <c r="F61" s="58"/>
      <c r="G61" s="58">
        <v>50</v>
      </c>
      <c r="I61" s="131"/>
    </row>
    <row r="62" spans="1:9" ht="12.75">
      <c r="A62" s="131"/>
      <c r="B62" s="95" t="s">
        <v>244</v>
      </c>
      <c r="C62" s="97"/>
      <c r="D62" s="87"/>
      <c r="E62" s="58"/>
      <c r="F62" s="58"/>
      <c r="G62" s="58"/>
      <c r="I62" s="131"/>
    </row>
    <row r="63" spans="1:9" ht="12.75">
      <c r="A63" s="131"/>
      <c r="B63" s="95" t="s">
        <v>414</v>
      </c>
      <c r="C63" s="97"/>
      <c r="D63" s="87"/>
      <c r="E63" s="58"/>
      <c r="F63" s="58"/>
      <c r="G63" s="58"/>
      <c r="I63" s="131"/>
    </row>
    <row r="64" spans="1:9" ht="12.75">
      <c r="A64" s="131"/>
      <c r="B64" s="95" t="s">
        <v>245</v>
      </c>
      <c r="C64" s="97"/>
      <c r="D64" s="87"/>
      <c r="E64" s="58"/>
      <c r="F64" s="58"/>
      <c r="G64" s="58">
        <v>7680.25</v>
      </c>
      <c r="I64" s="131"/>
    </row>
    <row r="65" spans="1:9" ht="12.75">
      <c r="A65" s="131"/>
      <c r="B65" s="95" t="s">
        <v>246</v>
      </c>
      <c r="C65" s="97"/>
      <c r="D65" s="87"/>
      <c r="E65" s="58">
        <v>62356.22</v>
      </c>
      <c r="F65" s="58"/>
      <c r="G65" s="58">
        <v>85741</v>
      </c>
      <c r="I65" s="131"/>
    </row>
    <row r="66" spans="1:9" ht="12.75">
      <c r="A66" s="131"/>
      <c r="B66" s="95" t="s">
        <v>247</v>
      </c>
      <c r="C66" s="97"/>
      <c r="D66" s="87"/>
      <c r="E66" s="58">
        <v>15633.35</v>
      </c>
      <c r="F66" s="58"/>
      <c r="G66" s="58">
        <v>15166.35</v>
      </c>
      <c r="I66" s="131"/>
    </row>
    <row r="67" spans="1:9" ht="12.75">
      <c r="A67" s="131"/>
      <c r="B67" s="95" t="s">
        <v>248</v>
      </c>
      <c r="C67" s="97"/>
      <c r="D67" s="87"/>
      <c r="E67" s="58">
        <v>9719</v>
      </c>
      <c r="F67" s="58"/>
      <c r="G67" s="58">
        <v>900</v>
      </c>
      <c r="I67" s="131"/>
    </row>
    <row r="68" spans="1:9" ht="12.75">
      <c r="A68" s="131"/>
      <c r="B68" s="95" t="s">
        <v>803</v>
      </c>
      <c r="C68" s="97"/>
      <c r="D68" s="87"/>
      <c r="E68" s="58">
        <v>49500</v>
      </c>
      <c r="F68" s="58"/>
      <c r="G68" s="58"/>
      <c r="I68" s="131"/>
    </row>
    <row r="69" spans="1:9" ht="12.75">
      <c r="A69" s="131"/>
      <c r="B69" s="95" t="s">
        <v>413</v>
      </c>
      <c r="C69" s="97"/>
      <c r="D69" s="87"/>
      <c r="E69" s="58">
        <v>1860</v>
      </c>
      <c r="F69" s="58"/>
      <c r="G69" s="58"/>
      <c r="I69" s="131"/>
    </row>
    <row r="70" spans="1:9" ht="13.5" thickBot="1">
      <c r="A70" s="131"/>
      <c r="B70" s="95"/>
      <c r="C70" s="97"/>
      <c r="D70" s="87"/>
      <c r="E70" s="61">
        <f>SUM(E46:E69)</f>
        <v>281809.98</v>
      </c>
      <c r="F70" s="58"/>
      <c r="G70" s="61">
        <f>SUM(G46:G67)</f>
        <v>166540.4</v>
      </c>
      <c r="H70" s="75"/>
      <c r="I70" s="131"/>
    </row>
    <row r="71" spans="2:9" ht="13.5" thickTop="1">
      <c r="B71" s="41" t="s">
        <v>193</v>
      </c>
      <c r="C71" s="97"/>
      <c r="D71" s="87"/>
      <c r="E71" s="58"/>
      <c r="F71" s="58"/>
      <c r="G71" s="58"/>
      <c r="I71" s="131"/>
    </row>
    <row r="72" spans="2:9" ht="12.75">
      <c r="B72" s="42" t="s">
        <v>249</v>
      </c>
      <c r="C72" s="97"/>
      <c r="D72" s="137" t="s">
        <v>384</v>
      </c>
      <c r="E72" s="91">
        <v>272090</v>
      </c>
      <c r="F72" s="58"/>
      <c r="G72" s="91">
        <v>113731</v>
      </c>
      <c r="I72" s="131"/>
    </row>
    <row r="73" spans="2:9" ht="12.75">
      <c r="B73" s="62" t="s">
        <v>250</v>
      </c>
      <c r="C73" s="97"/>
      <c r="D73" s="87"/>
      <c r="E73" s="58">
        <v>2827794</v>
      </c>
      <c r="F73" s="58"/>
      <c r="G73" s="58">
        <v>4614749</v>
      </c>
      <c r="I73" s="131"/>
    </row>
    <row r="74" spans="2:9" ht="12.75">
      <c r="B74" s="62"/>
      <c r="C74" s="97"/>
      <c r="D74" s="87"/>
      <c r="E74" s="58"/>
      <c r="F74" s="58"/>
      <c r="G74" s="58"/>
      <c r="I74" s="131"/>
    </row>
    <row r="75" spans="2:9" ht="13.5" thickBot="1">
      <c r="B75" s="62"/>
      <c r="C75" s="97"/>
      <c r="D75" s="87"/>
      <c r="E75" s="61">
        <f>SUM(E72:E74)</f>
        <v>3099884</v>
      </c>
      <c r="F75" s="60"/>
      <c r="G75" s="61">
        <f>SUM(G72:G74)</f>
        <v>4728480</v>
      </c>
      <c r="H75" s="75"/>
      <c r="I75" s="131"/>
    </row>
    <row r="76" spans="2:9" ht="14.25" thickBot="1" thickTop="1">
      <c r="B76" s="44" t="s">
        <v>184</v>
      </c>
      <c r="C76" s="97"/>
      <c r="D76" s="87"/>
      <c r="E76" s="87"/>
      <c r="F76" s="87"/>
      <c r="G76" s="138"/>
      <c r="H76" s="131"/>
      <c r="I76" s="131"/>
    </row>
    <row r="77" spans="2:9" ht="12.75">
      <c r="B77" s="68" t="s">
        <v>185</v>
      </c>
      <c r="C77" s="97"/>
      <c r="D77" s="87"/>
      <c r="E77" s="86"/>
      <c r="F77" s="87"/>
      <c r="G77" s="86"/>
      <c r="I77" s="131"/>
    </row>
    <row r="78" spans="2:7" ht="12.75">
      <c r="B78" s="41" t="s">
        <v>251</v>
      </c>
      <c r="C78" s="97"/>
      <c r="D78" s="87"/>
      <c r="E78" s="87"/>
      <c r="F78" s="87"/>
      <c r="G78" s="87"/>
    </row>
    <row r="79" spans="2:7" ht="12.75">
      <c r="B79" s="42" t="s">
        <v>252</v>
      </c>
      <c r="C79" s="97"/>
      <c r="D79" s="87"/>
      <c r="E79" s="58"/>
      <c r="F79" s="87"/>
      <c r="G79" s="58">
        <v>3200</v>
      </c>
    </row>
    <row r="80" spans="2:7" ht="12.75">
      <c r="B80" s="42" t="s">
        <v>253</v>
      </c>
      <c r="C80" s="97"/>
      <c r="D80" s="87"/>
      <c r="E80" s="58"/>
      <c r="F80" s="87"/>
      <c r="G80" s="58">
        <v>8854</v>
      </c>
    </row>
    <row r="81" spans="2:7" ht="12.75">
      <c r="B81" s="42" t="s">
        <v>254</v>
      </c>
      <c r="C81" s="97"/>
      <c r="D81" s="87"/>
      <c r="E81" s="91">
        <v>16000</v>
      </c>
      <c r="F81" s="87"/>
      <c r="G81" s="91">
        <v>22000</v>
      </c>
    </row>
    <row r="82" spans="2:7" ht="12.75">
      <c r="B82" s="42" t="s">
        <v>255</v>
      </c>
      <c r="C82" s="97"/>
      <c r="D82" s="87"/>
      <c r="E82" s="91">
        <v>46966</v>
      </c>
      <c r="F82" s="87"/>
      <c r="G82" s="91">
        <v>70966</v>
      </c>
    </row>
    <row r="83" spans="2:7" ht="12.75">
      <c r="B83" s="42" t="s">
        <v>256</v>
      </c>
      <c r="C83" s="97"/>
      <c r="D83" s="87"/>
      <c r="E83" s="58"/>
      <c r="F83" s="87"/>
      <c r="G83" s="58">
        <v>1000</v>
      </c>
    </row>
    <row r="84" spans="2:7" ht="12.75">
      <c r="B84" s="42" t="s">
        <v>257</v>
      </c>
      <c r="C84" s="97"/>
      <c r="D84" s="87"/>
      <c r="E84" s="91">
        <v>3000</v>
      </c>
      <c r="F84" s="87"/>
      <c r="G84" s="91">
        <v>6000</v>
      </c>
    </row>
    <row r="85" spans="2:7" ht="12.75">
      <c r="B85" s="42" t="s">
        <v>396</v>
      </c>
      <c r="C85" s="97"/>
      <c r="D85" s="87"/>
      <c r="E85" s="91"/>
      <c r="F85" s="87"/>
      <c r="G85" s="91">
        <v>149075</v>
      </c>
    </row>
    <row r="86" spans="2:7" ht="12.75">
      <c r="B86" s="42" t="s">
        <v>356</v>
      </c>
      <c r="C86" s="97"/>
      <c r="D86" s="89" t="s">
        <v>378</v>
      </c>
      <c r="E86" s="75"/>
      <c r="F86" s="87"/>
      <c r="G86" s="58">
        <f>G492</f>
        <v>1612975.65</v>
      </c>
    </row>
    <row r="87" spans="2:7" ht="12.75">
      <c r="B87" s="42"/>
      <c r="C87" s="97"/>
      <c r="D87" s="87"/>
      <c r="E87" s="75"/>
      <c r="F87" s="87"/>
      <c r="G87" s="58"/>
    </row>
    <row r="88" spans="2:7" ht="12.75">
      <c r="B88" s="41" t="s">
        <v>258</v>
      </c>
      <c r="C88" s="97"/>
      <c r="D88" s="87"/>
      <c r="E88" s="87"/>
      <c r="F88" s="87"/>
      <c r="G88" s="87"/>
    </row>
    <row r="89" spans="2:7" ht="12.75">
      <c r="B89" s="42" t="s">
        <v>259</v>
      </c>
      <c r="C89" s="97"/>
      <c r="D89" s="87"/>
      <c r="E89" s="91">
        <v>48500</v>
      </c>
      <c r="F89" s="87"/>
      <c r="G89" s="91">
        <v>54500</v>
      </c>
    </row>
    <row r="90" spans="2:7" ht="12.75">
      <c r="B90" s="42" t="s">
        <v>421</v>
      </c>
      <c r="C90" s="97"/>
      <c r="D90" s="87"/>
      <c r="E90" s="91">
        <v>2000</v>
      </c>
      <c r="F90" s="87"/>
      <c r="G90" s="91"/>
    </row>
    <row r="91" spans="2:7" ht="12.75">
      <c r="B91" s="42" t="s">
        <v>422</v>
      </c>
      <c r="C91" s="97"/>
      <c r="D91" s="87"/>
      <c r="E91" s="91">
        <v>165</v>
      </c>
      <c r="F91" s="87"/>
      <c r="G91" s="91"/>
    </row>
    <row r="92" spans="2:7" ht="12.75">
      <c r="B92" s="42" t="s">
        <v>423</v>
      </c>
      <c r="C92" s="97"/>
      <c r="D92" s="87"/>
      <c r="E92" s="91">
        <v>3987.5</v>
      </c>
      <c r="F92" s="87"/>
      <c r="G92" s="91"/>
    </row>
    <row r="93" spans="2:7" ht="12.75">
      <c r="B93" s="42" t="s">
        <v>424</v>
      </c>
      <c r="C93" s="97"/>
      <c r="D93" s="87"/>
      <c r="E93" s="91">
        <v>1000</v>
      </c>
      <c r="F93" s="87"/>
      <c r="G93" s="91"/>
    </row>
    <row r="94" spans="2:7" ht="12.75">
      <c r="B94" s="42" t="s">
        <v>804</v>
      </c>
      <c r="C94" s="97"/>
      <c r="D94" s="87"/>
      <c r="E94" s="91">
        <v>120</v>
      </c>
      <c r="F94" s="87"/>
      <c r="G94" s="91"/>
    </row>
    <row r="95" spans="2:7" ht="12.75">
      <c r="B95" s="42" t="s">
        <v>425</v>
      </c>
      <c r="C95" s="97"/>
      <c r="D95" s="87"/>
      <c r="E95" s="91">
        <v>7879</v>
      </c>
      <c r="F95" s="87"/>
      <c r="G95" s="91"/>
    </row>
    <row r="96" spans="2:7" ht="12.75">
      <c r="B96" s="42" t="s">
        <v>426</v>
      </c>
      <c r="C96" s="97"/>
      <c r="D96" s="87"/>
      <c r="E96" s="91">
        <v>7336</v>
      </c>
      <c r="F96" s="87"/>
      <c r="G96" s="91"/>
    </row>
    <row r="97" spans="2:7" ht="12.75">
      <c r="B97" s="42" t="s">
        <v>427</v>
      </c>
      <c r="C97" s="97"/>
      <c r="D97" s="87"/>
      <c r="E97" s="58">
        <v>84064</v>
      </c>
      <c r="F97" s="87"/>
      <c r="G97" s="87"/>
    </row>
    <row r="98" spans="2:7" ht="12.75">
      <c r="B98" s="42" t="s">
        <v>428</v>
      </c>
      <c r="C98" s="97"/>
      <c r="D98" s="87"/>
      <c r="E98" s="58">
        <f>12+0.75+237+0.5</f>
        <v>250.25</v>
      </c>
      <c r="F98" s="87"/>
      <c r="G98" s="87"/>
    </row>
    <row r="99" spans="2:7" ht="12.75">
      <c r="B99" s="42" t="s">
        <v>429</v>
      </c>
      <c r="C99" s="97"/>
      <c r="D99" s="87"/>
      <c r="E99" s="58">
        <v>170.5</v>
      </c>
      <c r="F99" s="87"/>
      <c r="G99" s="87"/>
    </row>
    <row r="100" spans="2:7" ht="12.75">
      <c r="B100" s="42" t="s">
        <v>431</v>
      </c>
      <c r="C100" s="97"/>
      <c r="D100" s="87"/>
      <c r="E100" s="58">
        <v>38.75</v>
      </c>
      <c r="F100" s="87"/>
      <c r="G100" s="58"/>
    </row>
    <row r="101" spans="2:7" ht="12.75">
      <c r="B101" s="42" t="s">
        <v>432</v>
      </c>
      <c r="C101" s="97"/>
      <c r="D101" s="87"/>
      <c r="E101" s="58">
        <v>66</v>
      </c>
      <c r="F101" s="87"/>
      <c r="G101" s="58"/>
    </row>
    <row r="102" spans="2:7" ht="12.75">
      <c r="B102" s="42" t="s">
        <v>434</v>
      </c>
      <c r="C102" s="97"/>
      <c r="D102" s="87"/>
      <c r="E102" s="58">
        <v>1280</v>
      </c>
      <c r="F102" s="87"/>
      <c r="G102" s="58"/>
    </row>
    <row r="103" spans="2:7" ht="12.75">
      <c r="B103" s="42" t="s">
        <v>433</v>
      </c>
      <c r="C103" s="97"/>
      <c r="D103" s="87"/>
      <c r="E103" s="58">
        <v>6364</v>
      </c>
      <c r="F103" s="87"/>
      <c r="G103" s="58"/>
    </row>
    <row r="104" spans="2:7" ht="12.75">
      <c r="B104" s="42" t="s">
        <v>435</v>
      </c>
      <c r="C104" s="97"/>
      <c r="D104" s="87"/>
      <c r="E104" s="58">
        <v>1770</v>
      </c>
      <c r="F104" s="87"/>
      <c r="G104" s="58"/>
    </row>
    <row r="105" spans="2:7" ht="12.75">
      <c r="B105" s="42" t="s">
        <v>436</v>
      </c>
      <c r="C105" s="97"/>
      <c r="D105" s="87"/>
      <c r="E105" s="58">
        <v>2296</v>
      </c>
      <c r="F105" s="87"/>
      <c r="G105" s="58"/>
    </row>
    <row r="106" spans="2:7" ht="12.75">
      <c r="B106" s="42" t="s">
        <v>437</v>
      </c>
      <c r="C106" s="97"/>
      <c r="D106" s="87"/>
      <c r="E106" s="58">
        <v>1599</v>
      </c>
      <c r="F106" s="87"/>
      <c r="G106" s="58"/>
    </row>
    <row r="107" spans="2:7" ht="12.75">
      <c r="B107" s="42" t="s">
        <v>439</v>
      </c>
      <c r="C107" s="97"/>
      <c r="D107" s="87"/>
      <c r="E107" s="58">
        <v>140</v>
      </c>
      <c r="F107" s="87"/>
      <c r="G107" s="58"/>
    </row>
    <row r="108" spans="2:7" ht="12.75">
      <c r="B108" s="42" t="s">
        <v>805</v>
      </c>
      <c r="C108" s="97"/>
      <c r="D108" s="87"/>
      <c r="E108" s="58">
        <v>162</v>
      </c>
      <c r="F108" s="87"/>
      <c r="G108" s="58"/>
    </row>
    <row r="109" spans="2:7" ht="12.75">
      <c r="B109" s="42" t="s">
        <v>440</v>
      </c>
      <c r="C109" s="97"/>
      <c r="D109" s="87"/>
      <c r="E109" s="58">
        <v>922</v>
      </c>
      <c r="F109" s="87"/>
      <c r="G109" s="58"/>
    </row>
    <row r="110" spans="2:7" ht="12.75">
      <c r="B110" s="42" t="s">
        <v>441</v>
      </c>
      <c r="C110" s="97"/>
      <c r="D110" s="87"/>
      <c r="E110" s="58">
        <v>3664</v>
      </c>
      <c r="F110" s="87"/>
      <c r="G110" s="58"/>
    </row>
    <row r="111" spans="2:7" ht="12.75">
      <c r="B111" s="42" t="s">
        <v>438</v>
      </c>
      <c r="C111" s="97"/>
      <c r="D111" s="87"/>
      <c r="E111" s="58">
        <v>10000</v>
      </c>
      <c r="F111" s="87"/>
      <c r="G111" s="58"/>
    </row>
    <row r="112" spans="2:7" ht="12.75">
      <c r="B112" s="42" t="s">
        <v>260</v>
      </c>
      <c r="C112" s="97"/>
      <c r="D112" s="87"/>
      <c r="E112" s="58">
        <v>28000</v>
      </c>
      <c r="F112" s="87"/>
      <c r="G112" s="58">
        <v>52000</v>
      </c>
    </row>
    <row r="113" spans="2:7" ht="12.75">
      <c r="B113" s="42" t="s">
        <v>442</v>
      </c>
      <c r="C113" s="97"/>
      <c r="D113" s="87"/>
      <c r="E113" s="58">
        <v>195</v>
      </c>
      <c r="F113" s="87"/>
      <c r="G113" s="58"/>
    </row>
    <row r="114" spans="2:7" ht="12.75">
      <c r="B114" s="42" t="s">
        <v>254</v>
      </c>
      <c r="C114" s="97"/>
      <c r="D114" s="87"/>
      <c r="E114" s="58">
        <v>71</v>
      </c>
      <c r="F114" s="87"/>
      <c r="G114" s="58"/>
    </row>
    <row r="115" spans="2:7" ht="12.75">
      <c r="B115" s="42" t="s">
        <v>823</v>
      </c>
      <c r="C115" s="97"/>
      <c r="D115" s="87"/>
      <c r="E115" s="58">
        <v>1450</v>
      </c>
      <c r="F115" s="87"/>
      <c r="G115" s="58"/>
    </row>
    <row r="116" spans="2:7" ht="12.75">
      <c r="B116" s="42" t="s">
        <v>824</v>
      </c>
      <c r="C116" s="97"/>
      <c r="D116" s="87"/>
      <c r="E116" s="58">
        <v>5146</v>
      </c>
      <c r="F116" s="87"/>
      <c r="G116" s="58"/>
    </row>
    <row r="117" spans="2:7" ht="12.75">
      <c r="B117" s="42"/>
      <c r="C117" s="97"/>
      <c r="D117" s="87"/>
      <c r="E117" s="58"/>
      <c r="F117" s="87"/>
      <c r="G117" s="58"/>
    </row>
    <row r="118" spans="2:7" ht="12.75">
      <c r="B118" s="42"/>
      <c r="C118" s="97"/>
      <c r="D118" s="87"/>
      <c r="E118" s="58"/>
      <c r="F118" s="87"/>
      <c r="G118" s="58"/>
    </row>
    <row r="119" spans="2:8" ht="13.5" thickBot="1">
      <c r="B119" s="41"/>
      <c r="C119" s="97"/>
      <c r="D119" s="87"/>
      <c r="E119" s="61">
        <f>SUM(E79:E116)</f>
        <v>284602</v>
      </c>
      <c r="F119" s="87"/>
      <c r="G119" s="61">
        <f>SUM(G79:G114)</f>
        <v>1980570.65</v>
      </c>
      <c r="H119" s="75"/>
    </row>
    <row r="120" spans="1:7" ht="13.5" thickTop="1">
      <c r="A120" s="131"/>
      <c r="B120" s="41"/>
      <c r="C120" s="97"/>
      <c r="D120" s="58"/>
      <c r="E120" s="87"/>
      <c r="F120" s="58"/>
      <c r="G120" s="87"/>
    </row>
    <row r="121" spans="2:7" ht="12.75">
      <c r="B121" s="43" t="s">
        <v>186</v>
      </c>
      <c r="C121" s="97"/>
      <c r="D121" s="87"/>
      <c r="E121" s="60"/>
      <c r="F121" s="58"/>
      <c r="G121" s="60"/>
    </row>
    <row r="122" spans="2:7" ht="12.75">
      <c r="B122" s="43" t="s">
        <v>187</v>
      </c>
      <c r="C122" s="97"/>
      <c r="D122" s="87"/>
      <c r="E122" s="60"/>
      <c r="F122" s="58"/>
      <c r="G122" s="60"/>
    </row>
    <row r="123" spans="1:7" ht="12.75">
      <c r="A123" s="131"/>
      <c r="B123" s="62" t="s">
        <v>263</v>
      </c>
      <c r="C123" s="97"/>
      <c r="D123" s="87"/>
      <c r="E123" s="58"/>
      <c r="F123" s="58"/>
      <c r="G123" s="58">
        <v>2231</v>
      </c>
    </row>
    <row r="124" spans="1:7" ht="12.75">
      <c r="A124" s="131"/>
      <c r="B124" s="62" t="s">
        <v>816</v>
      </c>
      <c r="C124" s="97"/>
      <c r="D124" s="87"/>
      <c r="E124" s="58">
        <v>1800</v>
      </c>
      <c r="F124" s="58"/>
      <c r="G124" s="58"/>
    </row>
    <row r="125" spans="1:7" ht="12.75">
      <c r="A125" s="131"/>
      <c r="B125" s="62" t="s">
        <v>817</v>
      </c>
      <c r="C125" s="97"/>
      <c r="D125" s="87"/>
      <c r="E125" s="58">
        <v>24528</v>
      </c>
      <c r="F125" s="58"/>
      <c r="G125" s="58"/>
    </row>
    <row r="126" spans="1:7" ht="12.75">
      <c r="A126" s="131"/>
      <c r="B126" s="62" t="s">
        <v>818</v>
      </c>
      <c r="C126" s="97"/>
      <c r="D126" s="87"/>
      <c r="E126" s="58">
        <v>3380</v>
      </c>
      <c r="F126" s="58"/>
      <c r="G126" s="58"/>
    </row>
    <row r="127" spans="1:7" ht="12.75">
      <c r="A127" s="131"/>
      <c r="B127" s="62" t="s">
        <v>819</v>
      </c>
      <c r="C127" s="97"/>
      <c r="D127" s="87"/>
      <c r="E127" s="58">
        <v>3668</v>
      </c>
      <c r="F127" s="58"/>
      <c r="G127" s="58"/>
    </row>
    <row r="128" spans="1:7" ht="12.75">
      <c r="A128" s="131"/>
      <c r="B128" s="62" t="s">
        <v>820</v>
      </c>
      <c r="C128" s="97"/>
      <c r="D128" s="87"/>
      <c r="E128" s="58">
        <v>43799</v>
      </c>
      <c r="F128" s="58"/>
      <c r="G128" s="58"/>
    </row>
    <row r="129" spans="1:7" ht="12.75">
      <c r="A129" s="131"/>
      <c r="B129" s="62" t="s">
        <v>821</v>
      </c>
      <c r="C129" s="97"/>
      <c r="D129" s="87"/>
      <c r="E129" s="58">
        <v>7000</v>
      </c>
      <c r="F129" s="58"/>
      <c r="G129" s="58"/>
    </row>
    <row r="130" spans="1:7" ht="12.75">
      <c r="A130" s="131"/>
      <c r="B130" s="95" t="s">
        <v>822</v>
      </c>
      <c r="C130" s="97"/>
      <c r="D130" s="87"/>
      <c r="E130" s="58">
        <v>87350</v>
      </c>
      <c r="F130" s="58"/>
      <c r="G130" s="60"/>
    </row>
    <row r="131" spans="1:7" ht="12.75">
      <c r="A131" s="131"/>
      <c r="B131" s="95" t="s">
        <v>264</v>
      </c>
      <c r="C131" s="97"/>
      <c r="D131" s="87"/>
      <c r="E131" s="58">
        <v>1444</v>
      </c>
      <c r="F131" s="58"/>
      <c r="G131" s="58">
        <v>1444</v>
      </c>
    </row>
    <row r="132" spans="1:7" ht="12.75">
      <c r="A132" s="131"/>
      <c r="B132" s="95" t="s">
        <v>389</v>
      </c>
      <c r="C132" s="97"/>
      <c r="D132" s="87"/>
      <c r="E132" s="58"/>
      <c r="F132" s="58"/>
      <c r="G132" s="58">
        <v>630</v>
      </c>
    </row>
    <row r="133" spans="1:7" ht="12.75">
      <c r="A133" s="131"/>
      <c r="B133" s="95" t="s">
        <v>265</v>
      </c>
      <c r="C133" s="97"/>
      <c r="D133" s="87"/>
      <c r="E133" s="58"/>
      <c r="F133" s="58"/>
      <c r="G133" s="58">
        <v>8529</v>
      </c>
    </row>
    <row r="134" spans="1:7" ht="12.75">
      <c r="A134" s="131"/>
      <c r="B134" s="95" t="s">
        <v>266</v>
      </c>
      <c r="C134" s="97"/>
      <c r="D134" s="87"/>
      <c r="E134" s="58"/>
      <c r="F134" s="58"/>
      <c r="G134" s="58">
        <v>21285</v>
      </c>
    </row>
    <row r="135" spans="1:7" ht="12.75">
      <c r="A135" s="131"/>
      <c r="B135" s="95" t="s">
        <v>267</v>
      </c>
      <c r="C135" s="97"/>
      <c r="D135" s="87"/>
      <c r="E135" s="58"/>
      <c r="F135" s="58"/>
      <c r="G135" s="58">
        <v>30000</v>
      </c>
    </row>
    <row r="136" spans="1:8" ht="13.5" thickBot="1">
      <c r="A136" s="131"/>
      <c r="B136" s="62"/>
      <c r="C136" s="97"/>
      <c r="D136" s="87"/>
      <c r="E136" s="61">
        <f>SUM(E122:E135)</f>
        <v>172969</v>
      </c>
      <c r="F136" s="58"/>
      <c r="G136" s="61">
        <f>SUM(G122:G135)</f>
        <v>64119</v>
      </c>
      <c r="H136" s="75"/>
    </row>
    <row r="137" spans="1:7" ht="13.5" thickTop="1">
      <c r="A137" s="131"/>
      <c r="B137" s="43" t="s">
        <v>188</v>
      </c>
      <c r="C137" s="97"/>
      <c r="D137" s="87"/>
      <c r="E137" s="60"/>
      <c r="F137" s="58"/>
      <c r="G137" s="87"/>
    </row>
    <row r="138" spans="1:7" ht="12.75">
      <c r="A138" s="131"/>
      <c r="B138" s="62" t="s">
        <v>268</v>
      </c>
      <c r="C138" s="97"/>
      <c r="D138" s="87"/>
      <c r="E138" s="60"/>
      <c r="F138" s="58"/>
      <c r="G138" s="60"/>
    </row>
    <row r="139" spans="1:7" ht="12.75">
      <c r="A139" s="131"/>
      <c r="B139" s="62" t="s">
        <v>269</v>
      </c>
      <c r="C139" s="97"/>
      <c r="D139" s="87"/>
      <c r="E139" s="58"/>
      <c r="F139" s="58"/>
      <c r="G139" s="58">
        <v>1800</v>
      </c>
    </row>
    <row r="140" spans="1:7" ht="12.75">
      <c r="A140" s="131"/>
      <c r="B140" s="95" t="s">
        <v>270</v>
      </c>
      <c r="C140" s="97"/>
      <c r="D140" s="87"/>
      <c r="E140" s="58">
        <v>11030</v>
      </c>
      <c r="F140" s="58"/>
      <c r="G140" s="58">
        <v>8824</v>
      </c>
    </row>
    <row r="141" spans="1:7" ht="12.75">
      <c r="A141" s="131"/>
      <c r="B141" s="95" t="s">
        <v>271</v>
      </c>
      <c r="C141" s="97"/>
      <c r="D141" s="87"/>
      <c r="E141" s="58">
        <v>88</v>
      </c>
      <c r="F141" s="58"/>
      <c r="G141" s="58">
        <v>88</v>
      </c>
    </row>
    <row r="142" spans="1:7" ht="12.75">
      <c r="A142" s="131"/>
      <c r="B142" s="95" t="s">
        <v>806</v>
      </c>
      <c r="C142" s="97"/>
      <c r="D142" s="87"/>
      <c r="E142" s="58">
        <v>1590</v>
      </c>
      <c r="F142" s="58"/>
      <c r="G142" s="58"/>
    </row>
    <row r="143" spans="1:7" ht="12.75">
      <c r="A143" s="131"/>
      <c r="B143" s="95" t="s">
        <v>430</v>
      </c>
      <c r="C143" s="97"/>
      <c r="D143" s="87"/>
      <c r="E143" s="58">
        <v>327</v>
      </c>
      <c r="F143" s="58"/>
      <c r="G143" s="58"/>
    </row>
    <row r="144" spans="1:7" ht="12.75">
      <c r="A144" s="131"/>
      <c r="B144" s="95" t="s">
        <v>431</v>
      </c>
      <c r="C144" s="97"/>
      <c r="D144" s="87"/>
      <c r="E144" s="58">
        <v>198</v>
      </c>
      <c r="F144" s="58"/>
      <c r="G144" s="58"/>
    </row>
    <row r="145" spans="1:7" ht="12.75">
      <c r="A145" s="131"/>
      <c r="B145" s="95" t="s">
        <v>436</v>
      </c>
      <c r="C145" s="97"/>
      <c r="D145" s="87"/>
      <c r="E145" s="58">
        <v>1810</v>
      </c>
      <c r="F145" s="58"/>
      <c r="G145" s="58"/>
    </row>
    <row r="146" spans="1:7" ht="12.75">
      <c r="A146" s="131"/>
      <c r="B146" s="95" t="s">
        <v>807</v>
      </c>
      <c r="C146" s="97"/>
      <c r="D146" s="87"/>
      <c r="E146" s="58">
        <v>359</v>
      </c>
      <c r="F146" s="58"/>
      <c r="G146" s="58"/>
    </row>
    <row r="147" spans="1:7" ht="12.75">
      <c r="A147" s="131"/>
      <c r="B147" s="95" t="s">
        <v>272</v>
      </c>
      <c r="C147" s="97"/>
      <c r="D147" s="87"/>
      <c r="E147" s="58">
        <v>12150</v>
      </c>
      <c r="F147" s="58"/>
      <c r="G147" s="58">
        <v>13455</v>
      </c>
    </row>
    <row r="148" spans="1:7" ht="12.75">
      <c r="A148" s="131"/>
      <c r="B148" s="95" t="s">
        <v>274</v>
      </c>
      <c r="C148" s="97"/>
      <c r="D148" s="87"/>
      <c r="E148" s="58">
        <v>5411</v>
      </c>
      <c r="F148" s="58"/>
      <c r="G148" s="58">
        <v>2750</v>
      </c>
    </row>
    <row r="149" spans="1:7" ht="12.75">
      <c r="A149" s="131"/>
      <c r="B149" s="95" t="s">
        <v>275</v>
      </c>
      <c r="C149" s="97"/>
      <c r="D149" s="87"/>
      <c r="E149" s="58">
        <v>3271</v>
      </c>
      <c r="F149" s="58"/>
      <c r="G149" s="58">
        <v>14438</v>
      </c>
    </row>
    <row r="150" spans="1:7" ht="12.75">
      <c r="A150" s="131"/>
      <c r="B150" s="95" t="s">
        <v>30</v>
      </c>
      <c r="C150" s="97"/>
      <c r="D150" s="87"/>
      <c r="E150" s="58">
        <v>3483</v>
      </c>
      <c r="F150" s="58"/>
      <c r="G150" s="58"/>
    </row>
    <row r="151" spans="1:7" ht="12.75">
      <c r="A151" s="131"/>
      <c r="B151" s="95" t="s">
        <v>813</v>
      </c>
      <c r="C151" s="97"/>
      <c r="D151" s="87"/>
      <c r="E151" s="58">
        <v>900</v>
      </c>
      <c r="F151" s="58"/>
      <c r="G151" s="58"/>
    </row>
    <row r="152" spans="1:7" ht="12.75">
      <c r="A152" s="131"/>
      <c r="B152" s="95" t="s">
        <v>815</v>
      </c>
      <c r="C152" s="97"/>
      <c r="D152" s="87"/>
      <c r="E152" s="58">
        <v>8824</v>
      </c>
      <c r="F152" s="58"/>
      <c r="G152" s="58"/>
    </row>
    <row r="153" spans="1:7" ht="12.75">
      <c r="A153" s="131"/>
      <c r="B153" s="95" t="s">
        <v>351</v>
      </c>
      <c r="C153" s="97"/>
      <c r="D153" s="87"/>
      <c r="E153" s="58"/>
      <c r="F153" s="58"/>
      <c r="G153" s="58">
        <v>1000</v>
      </c>
    </row>
    <row r="154" spans="1:7" ht="12.75">
      <c r="A154" s="131"/>
      <c r="B154" s="95" t="s">
        <v>814</v>
      </c>
      <c r="C154" s="97"/>
      <c r="D154" s="87"/>
      <c r="E154" s="58">
        <v>4125</v>
      </c>
      <c r="F154" s="58"/>
      <c r="G154" s="58"/>
    </row>
    <row r="155" spans="1:7" ht="12.75">
      <c r="A155" s="131"/>
      <c r="B155" s="95" t="s">
        <v>273</v>
      </c>
      <c r="C155" s="97"/>
      <c r="D155" s="87"/>
      <c r="E155" s="58">
        <v>7480</v>
      </c>
      <c r="F155" s="58"/>
      <c r="G155" s="58">
        <v>6240</v>
      </c>
    </row>
    <row r="156" spans="1:7" ht="12.75">
      <c r="A156" s="131"/>
      <c r="B156" s="95" t="s">
        <v>168</v>
      </c>
      <c r="C156" s="97"/>
      <c r="D156" s="87"/>
      <c r="E156" s="58">
        <v>40</v>
      </c>
      <c r="F156" s="58"/>
      <c r="G156" s="58"/>
    </row>
    <row r="157" spans="1:7" ht="12.75">
      <c r="A157" s="131"/>
      <c r="B157" s="95" t="s">
        <v>390</v>
      </c>
      <c r="C157" s="97"/>
      <c r="D157" s="87"/>
      <c r="E157" s="58"/>
      <c r="F157" s="58"/>
      <c r="G157" s="58">
        <v>533</v>
      </c>
    </row>
    <row r="158" spans="1:7" ht="12.75">
      <c r="A158" s="131"/>
      <c r="B158" s="95" t="s">
        <v>347</v>
      </c>
      <c r="C158" s="97"/>
      <c r="D158" s="87"/>
      <c r="E158" s="58">
        <v>1000</v>
      </c>
      <c r="F158" s="58"/>
      <c r="G158" s="58"/>
    </row>
    <row r="159" spans="1:7" ht="12.75">
      <c r="A159" s="131"/>
      <c r="B159" s="95" t="s">
        <v>352</v>
      </c>
      <c r="C159" s="97"/>
      <c r="D159" s="87"/>
      <c r="E159" s="58"/>
      <c r="F159" s="58"/>
      <c r="G159" s="58">
        <v>46675</v>
      </c>
    </row>
    <row r="160" spans="1:7" ht="12.75">
      <c r="A160" s="131"/>
      <c r="B160" s="95" t="s">
        <v>810</v>
      </c>
      <c r="C160" s="97"/>
      <c r="D160" s="87"/>
      <c r="E160" s="58">
        <v>350</v>
      </c>
      <c r="F160" s="58"/>
      <c r="G160" s="58"/>
    </row>
    <row r="161" spans="1:7" ht="12.75">
      <c r="A161" s="131"/>
      <c r="B161" s="95" t="s">
        <v>809</v>
      </c>
      <c r="C161" s="97"/>
      <c r="D161" s="87"/>
      <c r="E161" s="58">
        <v>514</v>
      </c>
      <c r="F161" s="58"/>
      <c r="G161" s="58"/>
    </row>
    <row r="162" spans="1:7" ht="12.75">
      <c r="A162" s="131"/>
      <c r="B162" s="95" t="s">
        <v>811</v>
      </c>
      <c r="C162" s="97"/>
      <c r="D162" s="87"/>
      <c r="E162" s="58">
        <v>804</v>
      </c>
      <c r="F162" s="58"/>
      <c r="G162" s="58"/>
    </row>
    <row r="163" spans="1:7" ht="12.75">
      <c r="A163" s="131"/>
      <c r="B163" s="95" t="s">
        <v>444</v>
      </c>
      <c r="C163" s="97"/>
      <c r="D163" s="87"/>
      <c r="E163" s="58">
        <v>64600</v>
      </c>
      <c r="F163" s="58"/>
      <c r="G163" s="58"/>
    </row>
    <row r="164" spans="1:7" ht="12.75">
      <c r="A164" s="131"/>
      <c r="B164" s="95" t="s">
        <v>276</v>
      </c>
      <c r="C164" s="97"/>
      <c r="D164" s="87"/>
      <c r="E164" s="58">
        <v>12639</v>
      </c>
      <c r="F164" s="58"/>
      <c r="G164" s="58">
        <v>11669</v>
      </c>
    </row>
    <row r="165" spans="1:7" ht="12.75">
      <c r="A165" s="131"/>
      <c r="B165" s="95" t="s">
        <v>812</v>
      </c>
      <c r="C165" s="97"/>
      <c r="D165" s="87"/>
      <c r="E165" s="58">
        <v>6385</v>
      </c>
      <c r="F165" s="58"/>
      <c r="G165" s="58"/>
    </row>
    <row r="166" spans="1:7" ht="12.75">
      <c r="A166" s="131"/>
      <c r="B166" s="95" t="s">
        <v>277</v>
      </c>
      <c r="C166" s="97"/>
      <c r="D166" s="87"/>
      <c r="E166" s="58"/>
      <c r="F166" s="58"/>
      <c r="G166" s="58">
        <v>240</v>
      </c>
    </row>
    <row r="167" spans="1:7" ht="12.75">
      <c r="A167" s="131"/>
      <c r="B167" s="95" t="s">
        <v>278</v>
      </c>
      <c r="C167" s="97"/>
      <c r="D167" s="87"/>
      <c r="E167" s="58">
        <v>50</v>
      </c>
      <c r="F167" s="58"/>
      <c r="G167" s="58">
        <v>50</v>
      </c>
    </row>
    <row r="168" spans="1:7" ht="12.75">
      <c r="A168" s="131"/>
      <c r="B168" s="95" t="s">
        <v>445</v>
      </c>
      <c r="C168" s="97"/>
      <c r="D168" s="87"/>
      <c r="E168" s="58">
        <v>59585</v>
      </c>
      <c r="F168" s="58"/>
      <c r="G168" s="58"/>
    </row>
    <row r="169" spans="1:7" ht="12.75">
      <c r="A169" s="131"/>
      <c r="B169" s="95" t="s">
        <v>279</v>
      </c>
      <c r="C169" s="97"/>
      <c r="D169" s="87"/>
      <c r="E169" s="58">
        <v>110</v>
      </c>
      <c r="F169" s="58"/>
      <c r="G169" s="58">
        <v>110</v>
      </c>
    </row>
    <row r="170" spans="1:7" ht="12.75">
      <c r="A170" s="131"/>
      <c r="B170" s="95" t="s">
        <v>280</v>
      </c>
      <c r="C170" s="97"/>
      <c r="D170" s="87"/>
      <c r="E170" s="58">
        <v>1980</v>
      </c>
      <c r="F170" s="58"/>
      <c r="G170" s="58">
        <v>1105</v>
      </c>
    </row>
    <row r="171" spans="1:8" ht="13.5" thickBot="1">
      <c r="A171" s="131"/>
      <c r="B171" s="62"/>
      <c r="C171" s="97"/>
      <c r="D171" s="87"/>
      <c r="E171" s="61">
        <f>SUM(E139:E170)</f>
        <v>209103</v>
      </c>
      <c r="F171" s="58"/>
      <c r="G171" s="61">
        <f>SUM(G137:G170)</f>
        <v>108977</v>
      </c>
      <c r="H171" s="75"/>
    </row>
    <row r="172" spans="1:7" ht="13.5" thickTop="1">
      <c r="A172" s="131"/>
      <c r="D172" s="87"/>
      <c r="E172" s="60">
        <f>E136+E171</f>
        <v>382072</v>
      </c>
      <c r="F172" s="89"/>
      <c r="G172" s="60">
        <f>G136+G171</f>
        <v>173096</v>
      </c>
    </row>
    <row r="173" spans="1:7" ht="12.75">
      <c r="A173" s="131"/>
      <c r="B173" s="43" t="s">
        <v>98</v>
      </c>
      <c r="C173" s="97"/>
      <c r="D173" s="87"/>
      <c r="E173" s="87"/>
      <c r="F173" s="87"/>
      <c r="G173" s="87"/>
    </row>
    <row r="174" spans="1:7" ht="12.75">
      <c r="A174" s="131"/>
      <c r="B174" s="43" t="s">
        <v>662</v>
      </c>
      <c r="C174" s="97"/>
      <c r="D174" s="87"/>
      <c r="E174" s="87"/>
      <c r="F174" s="87"/>
      <c r="G174" s="87"/>
    </row>
    <row r="175" spans="1:4" ht="12.75">
      <c r="A175" s="131"/>
      <c r="B175" s="113" t="s">
        <v>638</v>
      </c>
      <c r="C175" s="97"/>
      <c r="D175" s="92"/>
    </row>
    <row r="176" spans="1:8" ht="12.75">
      <c r="A176" s="131"/>
      <c r="B176" s="62" t="s">
        <v>112</v>
      </c>
      <c r="C176" s="97"/>
      <c r="D176" s="87"/>
      <c r="E176" s="58">
        <v>159282</v>
      </c>
      <c r="F176" s="87"/>
      <c r="G176" s="58">
        <v>149075</v>
      </c>
      <c r="H176" s="75"/>
    </row>
    <row r="177" spans="2:7" ht="13.5" thickBot="1">
      <c r="B177" s="44"/>
      <c r="C177" s="97"/>
      <c r="D177" s="87"/>
      <c r="E177" s="61">
        <f>E176</f>
        <v>159282</v>
      </c>
      <c r="F177" s="58"/>
      <c r="G177" s="61">
        <f>G176</f>
        <v>149075</v>
      </c>
    </row>
    <row r="178" spans="1:7" ht="13.5" thickTop="1">
      <c r="A178" s="131"/>
      <c r="B178" s="43" t="s">
        <v>99</v>
      </c>
      <c r="C178" s="97"/>
      <c r="D178" s="91"/>
      <c r="E178" s="87"/>
      <c r="F178" s="58"/>
      <c r="G178" s="87"/>
    </row>
    <row r="179" spans="1:7" ht="12.75">
      <c r="A179" s="131"/>
      <c r="B179" s="43" t="s">
        <v>663</v>
      </c>
      <c r="C179" s="97"/>
      <c r="D179" s="91"/>
      <c r="E179" s="87"/>
      <c r="F179" s="58"/>
      <c r="G179" s="87"/>
    </row>
    <row r="180" spans="1:7" ht="12.75">
      <c r="A180" s="131"/>
      <c r="B180" s="113" t="s">
        <v>617</v>
      </c>
      <c r="C180" s="97"/>
      <c r="D180" s="91"/>
      <c r="E180" s="87"/>
      <c r="F180" s="58"/>
      <c r="G180" s="87"/>
    </row>
    <row r="181" spans="2:7" ht="12.75">
      <c r="B181" s="42" t="s">
        <v>113</v>
      </c>
      <c r="C181" s="97"/>
      <c r="D181" s="91"/>
      <c r="E181" s="58">
        <v>2520</v>
      </c>
      <c r="F181" s="58"/>
      <c r="G181" s="87"/>
    </row>
    <row r="182" spans="2:7" ht="12.75">
      <c r="B182" s="42" t="s">
        <v>482</v>
      </c>
      <c r="C182" s="97"/>
      <c r="D182" s="91"/>
      <c r="E182" s="58">
        <v>1904</v>
      </c>
      <c r="F182" s="58"/>
      <c r="G182" s="87"/>
    </row>
    <row r="183" spans="2:7" ht="12.75">
      <c r="B183" s="42" t="s">
        <v>483</v>
      </c>
      <c r="C183" s="97"/>
      <c r="D183" s="91"/>
      <c r="E183" s="58">
        <v>7020</v>
      </c>
      <c r="F183" s="58"/>
      <c r="G183" s="87"/>
    </row>
    <row r="184" spans="2:7" ht="12.75">
      <c r="B184" s="42" t="s">
        <v>68</v>
      </c>
      <c r="C184" s="97"/>
      <c r="D184" s="91"/>
      <c r="E184" s="58">
        <v>101</v>
      </c>
      <c r="F184" s="58"/>
      <c r="G184" s="87"/>
    </row>
    <row r="185" spans="2:7" ht="12.75">
      <c r="B185" s="42" t="s">
        <v>29</v>
      </c>
      <c r="C185" s="97"/>
      <c r="D185" s="91"/>
      <c r="E185" s="58">
        <v>617</v>
      </c>
      <c r="F185" s="58"/>
      <c r="G185" s="58"/>
    </row>
    <row r="186" spans="2:7" ht="12.75">
      <c r="B186" s="42" t="s">
        <v>115</v>
      </c>
      <c r="C186" s="97"/>
      <c r="D186" s="91"/>
      <c r="E186" s="58">
        <v>84000</v>
      </c>
      <c r="F186" s="58"/>
      <c r="G186" s="58">
        <v>9900</v>
      </c>
    </row>
    <row r="187" spans="2:7" ht="12.75">
      <c r="B187" s="42" t="s">
        <v>30</v>
      </c>
      <c r="C187" s="97"/>
      <c r="D187" s="91"/>
      <c r="E187" s="58">
        <v>338.5</v>
      </c>
      <c r="F187" s="58"/>
      <c r="G187" s="58"/>
    </row>
    <row r="188" spans="2:7" ht="12.75">
      <c r="B188" s="42"/>
      <c r="C188" s="97"/>
      <c r="D188" s="91"/>
      <c r="E188" s="58"/>
      <c r="F188" s="58"/>
      <c r="G188" s="58"/>
    </row>
    <row r="189" spans="2:7" ht="12.75">
      <c r="B189" s="113" t="s">
        <v>618</v>
      </c>
      <c r="C189" s="97"/>
      <c r="D189" s="91"/>
      <c r="E189" s="58"/>
      <c r="F189" s="58"/>
      <c r="G189" s="58"/>
    </row>
    <row r="190" spans="2:7" ht="12.75">
      <c r="B190" s="42" t="s">
        <v>158</v>
      </c>
      <c r="C190" s="97"/>
      <c r="D190" s="91"/>
      <c r="E190" s="58">
        <v>3029.75</v>
      </c>
      <c r="F190" s="58"/>
      <c r="G190" s="58"/>
    </row>
    <row r="191" spans="2:7" ht="12.75">
      <c r="B191" s="42" t="s">
        <v>486</v>
      </c>
      <c r="C191" s="97"/>
      <c r="D191" s="91"/>
      <c r="E191" s="58">
        <v>1850</v>
      </c>
      <c r="F191" s="58"/>
      <c r="G191" s="58"/>
    </row>
    <row r="192" spans="2:7" ht="12.75">
      <c r="B192" s="42" t="s">
        <v>118</v>
      </c>
      <c r="C192" s="97"/>
      <c r="D192" s="91"/>
      <c r="E192" s="58">
        <v>6600</v>
      </c>
      <c r="F192" s="58"/>
      <c r="G192" s="58"/>
    </row>
    <row r="193" spans="2:7" ht="12.75">
      <c r="B193" s="42" t="s">
        <v>116</v>
      </c>
      <c r="C193" s="97"/>
      <c r="D193" s="91"/>
      <c r="E193" s="58">
        <v>125735</v>
      </c>
      <c r="F193" s="58"/>
      <c r="G193" s="58">
        <v>48048</v>
      </c>
    </row>
    <row r="194" spans="2:7" ht="12.75">
      <c r="B194" s="42" t="s">
        <v>117</v>
      </c>
      <c r="C194" s="97"/>
      <c r="D194" s="91"/>
      <c r="E194" s="58"/>
      <c r="F194" s="58"/>
      <c r="G194" s="58">
        <v>4585</v>
      </c>
    </row>
    <row r="195" spans="2:7" ht="12.75">
      <c r="B195" s="42" t="s">
        <v>346</v>
      </c>
      <c r="C195" s="97"/>
      <c r="D195" s="91"/>
      <c r="E195" s="58">
        <v>585</v>
      </c>
      <c r="F195" s="58"/>
      <c r="G195" s="58"/>
    </row>
    <row r="196" spans="2:7" ht="12.75">
      <c r="B196" s="42" t="s">
        <v>114</v>
      </c>
      <c r="C196" s="97"/>
      <c r="D196" s="91"/>
      <c r="E196" s="58">
        <v>31631</v>
      </c>
      <c r="F196" s="58"/>
      <c r="G196" s="58">
        <v>17666</v>
      </c>
    </row>
    <row r="197" spans="2:7" ht="12.75">
      <c r="B197" s="42"/>
      <c r="C197" s="97"/>
      <c r="D197" s="91"/>
      <c r="E197" s="58"/>
      <c r="F197" s="58"/>
      <c r="G197" s="58"/>
    </row>
    <row r="198" spans="2:7" ht="12.75">
      <c r="B198" s="113" t="s">
        <v>311</v>
      </c>
      <c r="C198" s="97"/>
      <c r="D198" s="91"/>
      <c r="E198" s="58"/>
      <c r="F198" s="58"/>
      <c r="G198" s="58"/>
    </row>
    <row r="199" spans="2:11" ht="12.75">
      <c r="B199" s="42" t="s">
        <v>484</v>
      </c>
      <c r="C199" s="97"/>
      <c r="D199" s="91"/>
      <c r="E199" s="58">
        <v>2877.4</v>
      </c>
      <c r="F199" s="58"/>
      <c r="G199" s="58"/>
      <c r="K199" s="73" t="s">
        <v>763</v>
      </c>
    </row>
    <row r="200" spans="2:7" ht="12.75">
      <c r="B200" s="42" t="s">
        <v>485</v>
      </c>
      <c r="C200" s="97"/>
      <c r="D200" s="91"/>
      <c r="E200" s="58">
        <v>97</v>
      </c>
      <c r="F200" s="58"/>
      <c r="G200" s="58"/>
    </row>
    <row r="201" spans="2:7" ht="12.75">
      <c r="B201" s="42"/>
      <c r="C201" s="97"/>
      <c r="D201" s="91"/>
      <c r="E201" s="58"/>
      <c r="F201" s="58"/>
      <c r="G201" s="58"/>
    </row>
    <row r="202" spans="2:7" ht="12.75">
      <c r="B202" s="113" t="s">
        <v>625</v>
      </c>
      <c r="C202" s="97"/>
      <c r="D202" s="91"/>
      <c r="E202" s="58"/>
      <c r="F202" s="58"/>
      <c r="G202" s="58"/>
    </row>
    <row r="203" spans="2:7" ht="12.75">
      <c r="B203" s="42" t="s">
        <v>168</v>
      </c>
      <c r="C203" s="97"/>
      <c r="D203" s="91"/>
      <c r="E203" s="58">
        <v>67.5</v>
      </c>
      <c r="F203" s="58"/>
      <c r="G203" s="58"/>
    </row>
    <row r="204" spans="2:8" ht="13.5" thickBot="1">
      <c r="B204" s="42"/>
      <c r="C204" s="97"/>
      <c r="D204" s="91"/>
      <c r="E204" s="61">
        <f>SUM(E181:E203)</f>
        <v>268973.15</v>
      </c>
      <c r="F204" s="58"/>
      <c r="G204" s="61">
        <f>SUM(G181:G203)</f>
        <v>80199</v>
      </c>
      <c r="H204" s="75"/>
    </row>
    <row r="205" spans="2:8" ht="13.5" thickTop="1">
      <c r="B205" s="42"/>
      <c r="C205" s="97"/>
      <c r="D205" s="91"/>
      <c r="E205" s="58"/>
      <c r="F205" s="58"/>
      <c r="G205" s="60"/>
      <c r="H205" s="75"/>
    </row>
    <row r="206" spans="1:7" ht="12.75">
      <c r="A206" s="131"/>
      <c r="B206" s="43" t="s">
        <v>100</v>
      </c>
      <c r="C206" s="97"/>
      <c r="D206" s="91"/>
      <c r="E206" s="87"/>
      <c r="F206" s="58"/>
      <c r="G206" s="87"/>
    </row>
    <row r="207" spans="1:7" ht="12.75">
      <c r="A207" s="131"/>
      <c r="B207" s="43" t="s">
        <v>664</v>
      </c>
      <c r="C207" s="97"/>
      <c r="D207" s="91"/>
      <c r="E207" s="87"/>
      <c r="F207" s="58"/>
      <c r="G207" s="87"/>
    </row>
    <row r="208" spans="1:7" ht="12.75">
      <c r="A208" s="131"/>
      <c r="B208" s="113" t="s">
        <v>619</v>
      </c>
      <c r="C208" s="97"/>
      <c r="D208" s="91"/>
      <c r="E208" s="87"/>
      <c r="F208" s="58"/>
      <c r="G208" s="87"/>
    </row>
    <row r="209" spans="1:7" ht="12.75">
      <c r="A209" s="131"/>
      <c r="B209" s="42" t="s">
        <v>296</v>
      </c>
      <c r="C209" s="97"/>
      <c r="D209" s="91"/>
      <c r="E209" s="58">
        <v>238047</v>
      </c>
      <c r="F209" s="58"/>
      <c r="G209" s="58">
        <v>240240</v>
      </c>
    </row>
    <row r="210" spans="1:7" ht="12.75">
      <c r="A210" s="131"/>
      <c r="B210" s="139" t="s">
        <v>121</v>
      </c>
      <c r="C210" s="97"/>
      <c r="D210" s="91"/>
      <c r="E210" s="58"/>
      <c r="F210" s="58"/>
      <c r="G210" s="58">
        <v>22929</v>
      </c>
    </row>
    <row r="211" spans="1:7" ht="12.75">
      <c r="A211" s="131"/>
      <c r="B211" s="139" t="s">
        <v>122</v>
      </c>
      <c r="C211" s="97"/>
      <c r="D211" s="91"/>
      <c r="E211" s="58">
        <v>92700</v>
      </c>
      <c r="F211" s="58"/>
      <c r="G211" s="58">
        <v>68787</v>
      </c>
    </row>
    <row r="212" spans="1:7" ht="12.75">
      <c r="A212" s="131"/>
      <c r="B212" s="139" t="s">
        <v>479</v>
      </c>
      <c r="C212" s="97"/>
      <c r="D212" s="91"/>
      <c r="E212" s="58">
        <v>79656</v>
      </c>
      <c r="F212" s="58"/>
      <c r="G212" s="58"/>
    </row>
    <row r="213" spans="1:7" ht="12.75">
      <c r="A213" s="131"/>
      <c r="B213" s="139" t="s">
        <v>480</v>
      </c>
      <c r="C213" s="97"/>
      <c r="D213" s="91"/>
      <c r="E213" s="58">
        <v>49375</v>
      </c>
      <c r="F213" s="58"/>
      <c r="G213" s="58"/>
    </row>
    <row r="214" spans="1:7" ht="12.75">
      <c r="A214" s="131"/>
      <c r="B214" s="139" t="s">
        <v>346</v>
      </c>
      <c r="C214" s="97"/>
      <c r="D214" s="91"/>
      <c r="E214" s="58">
        <v>24750</v>
      </c>
      <c r="F214" s="58"/>
      <c r="G214" s="58">
        <v>18200</v>
      </c>
    </row>
    <row r="215" spans="1:7" ht="12.75">
      <c r="A215" s="131"/>
      <c r="B215" s="139" t="s">
        <v>637</v>
      </c>
      <c r="C215" s="97"/>
      <c r="D215" s="91"/>
      <c r="E215" s="58"/>
      <c r="F215" s="58"/>
      <c r="G215" s="58">
        <v>4500</v>
      </c>
    </row>
    <row r="216" spans="1:7" ht="12.75">
      <c r="A216" s="131"/>
      <c r="B216" s="139"/>
      <c r="C216" s="97"/>
      <c r="D216" s="91"/>
      <c r="E216" s="58"/>
      <c r="F216" s="58"/>
      <c r="G216" s="58"/>
    </row>
    <row r="217" spans="1:7" ht="12.75">
      <c r="A217" s="131"/>
      <c r="B217" s="114" t="s">
        <v>334</v>
      </c>
      <c r="C217" s="97"/>
      <c r="D217" s="91"/>
      <c r="E217" s="58"/>
      <c r="F217" s="58"/>
      <c r="G217" s="58"/>
    </row>
    <row r="218" spans="1:7" ht="12.75">
      <c r="A218" s="131"/>
      <c r="B218" s="139" t="s">
        <v>477</v>
      </c>
      <c r="C218" s="97"/>
      <c r="D218" s="91"/>
      <c r="E218" s="58">
        <v>20390</v>
      </c>
      <c r="F218" s="58"/>
      <c r="G218" s="58"/>
    </row>
    <row r="219" spans="1:7" ht="12.75">
      <c r="A219" s="131"/>
      <c r="B219" s="139" t="s">
        <v>158</v>
      </c>
      <c r="C219" s="97"/>
      <c r="D219" s="91"/>
      <c r="E219" s="58">
        <v>6980</v>
      </c>
      <c r="F219" s="58"/>
      <c r="G219" s="58">
        <v>13365</v>
      </c>
    </row>
    <row r="220" spans="1:7" ht="12.75">
      <c r="A220" s="131"/>
      <c r="B220" s="139" t="s">
        <v>119</v>
      </c>
      <c r="C220" s="97"/>
      <c r="D220" s="91"/>
      <c r="E220" s="58">
        <v>102105.5</v>
      </c>
      <c r="F220" s="58"/>
      <c r="G220" s="58">
        <v>121542</v>
      </c>
    </row>
    <row r="221" spans="1:7" ht="12.75">
      <c r="A221" s="131"/>
      <c r="B221" s="139" t="s">
        <v>636</v>
      </c>
      <c r="C221" s="97"/>
      <c r="D221" s="91"/>
      <c r="E221" s="58"/>
      <c r="F221" s="58"/>
      <c r="G221" s="58">
        <v>1996</v>
      </c>
    </row>
    <row r="222" spans="1:7" ht="12.75">
      <c r="A222" s="131"/>
      <c r="B222" s="139" t="s">
        <v>294</v>
      </c>
      <c r="C222" s="97"/>
      <c r="D222" s="91"/>
      <c r="E222" s="58"/>
      <c r="F222" s="58"/>
      <c r="G222" s="58">
        <v>2950</v>
      </c>
    </row>
    <row r="223" spans="1:7" ht="12.75">
      <c r="A223" s="131"/>
      <c r="B223" s="139" t="s">
        <v>295</v>
      </c>
      <c r="C223" s="97"/>
      <c r="D223" s="91"/>
      <c r="E223" s="58"/>
      <c r="F223" s="58"/>
      <c r="G223" s="58">
        <v>1850</v>
      </c>
    </row>
    <row r="224" spans="1:7" ht="12.75">
      <c r="A224" s="131"/>
      <c r="B224" s="139"/>
      <c r="C224" s="97"/>
      <c r="D224" s="91"/>
      <c r="E224" s="58"/>
      <c r="F224" s="58"/>
      <c r="G224" s="58"/>
    </row>
    <row r="225" spans="1:7" ht="12.75">
      <c r="A225" s="131"/>
      <c r="B225" s="114" t="s">
        <v>617</v>
      </c>
      <c r="C225" s="97"/>
      <c r="D225" s="91"/>
      <c r="E225" s="58"/>
      <c r="F225" s="58"/>
      <c r="G225" s="58"/>
    </row>
    <row r="226" spans="1:7" ht="12.75">
      <c r="A226" s="131"/>
      <c r="B226" s="139" t="s">
        <v>176</v>
      </c>
      <c r="C226" s="97"/>
      <c r="D226" s="91"/>
      <c r="E226" s="58">
        <v>10</v>
      </c>
      <c r="F226" s="58"/>
      <c r="G226" s="58">
        <v>483</v>
      </c>
    </row>
    <row r="227" spans="1:7" ht="12.75">
      <c r="A227" s="131"/>
      <c r="B227" s="139" t="s">
        <v>29</v>
      </c>
      <c r="C227" s="97"/>
      <c r="D227" s="91"/>
      <c r="E227" s="58">
        <v>6867</v>
      </c>
      <c r="F227" s="58"/>
      <c r="G227" s="58"/>
    </row>
    <row r="228" spans="1:7" ht="12.75">
      <c r="A228" s="131"/>
      <c r="B228" s="275"/>
      <c r="C228" s="276"/>
      <c r="D228" s="91"/>
      <c r="E228" s="58"/>
      <c r="F228" s="58"/>
      <c r="G228" s="58"/>
    </row>
    <row r="229" spans="1:7" ht="12.75">
      <c r="A229" s="131"/>
      <c r="B229" s="114" t="s">
        <v>634</v>
      </c>
      <c r="C229" s="97"/>
      <c r="D229" s="91"/>
      <c r="E229" s="58"/>
      <c r="F229" s="58"/>
      <c r="G229" s="58"/>
    </row>
    <row r="230" spans="1:7" ht="12.75">
      <c r="A230" s="131"/>
      <c r="B230" s="139" t="s">
        <v>120</v>
      </c>
      <c r="C230" s="97"/>
      <c r="D230" s="91"/>
      <c r="E230" s="58">
        <v>33200</v>
      </c>
      <c r="F230" s="58"/>
      <c r="G230" s="58">
        <v>33600</v>
      </c>
    </row>
    <row r="231" spans="1:7" ht="12.75">
      <c r="A231" s="131"/>
      <c r="B231" s="139" t="s">
        <v>764</v>
      </c>
      <c r="C231" s="97"/>
      <c r="D231" s="91"/>
      <c r="E231" s="58">
        <v>140936</v>
      </c>
      <c r="F231" s="58"/>
      <c r="G231" s="58"/>
    </row>
    <row r="232" spans="1:7" ht="12.75">
      <c r="A232" s="131"/>
      <c r="B232" s="114" t="s">
        <v>625</v>
      </c>
      <c r="C232" s="97"/>
      <c r="D232" s="91"/>
      <c r="E232" s="58"/>
      <c r="F232" s="58"/>
      <c r="G232" s="58"/>
    </row>
    <row r="233" spans="1:7" ht="12.75">
      <c r="A233" s="131"/>
      <c r="B233" s="139" t="s">
        <v>286</v>
      </c>
      <c r="C233" s="97"/>
      <c r="D233" s="91"/>
      <c r="E233" s="58">
        <v>191</v>
      </c>
      <c r="F233" s="58"/>
      <c r="G233" s="58">
        <v>500</v>
      </c>
    </row>
    <row r="234" spans="1:7" ht="12.75">
      <c r="A234" s="131"/>
      <c r="B234" s="139" t="s">
        <v>635</v>
      </c>
      <c r="C234" s="97"/>
      <c r="D234" s="91"/>
      <c r="E234" s="58">
        <v>13424.5</v>
      </c>
      <c r="F234" s="58"/>
      <c r="G234" s="58">
        <v>9745</v>
      </c>
    </row>
    <row r="235" spans="1:7" ht="12.75">
      <c r="A235" s="131"/>
      <c r="B235" s="139" t="s">
        <v>478</v>
      </c>
      <c r="C235" s="97"/>
      <c r="D235" s="91"/>
      <c r="E235" s="58">
        <v>746</v>
      </c>
      <c r="F235" s="58"/>
      <c r="G235" s="58"/>
    </row>
    <row r="236" spans="1:7" ht="12.75">
      <c r="A236" s="131"/>
      <c r="B236" s="139" t="s">
        <v>30</v>
      </c>
      <c r="C236" s="97"/>
      <c r="D236" s="91"/>
      <c r="E236" s="58"/>
      <c r="F236" s="58"/>
      <c r="G236" s="58">
        <v>2814</v>
      </c>
    </row>
    <row r="237" spans="1:7" ht="12.75">
      <c r="A237" s="131"/>
      <c r="B237" s="139"/>
      <c r="C237" s="97"/>
      <c r="D237" s="91"/>
      <c r="E237" s="58"/>
      <c r="F237" s="58"/>
      <c r="G237" s="58"/>
    </row>
    <row r="238" spans="1:7" ht="12.75">
      <c r="A238" s="131"/>
      <c r="B238" s="114" t="s">
        <v>311</v>
      </c>
      <c r="C238" s="97"/>
      <c r="D238" s="91"/>
      <c r="E238" s="58"/>
      <c r="F238" s="58"/>
      <c r="G238" s="58"/>
    </row>
    <row r="239" spans="1:7" ht="12.75">
      <c r="A239" s="131"/>
      <c r="B239" s="139" t="s">
        <v>476</v>
      </c>
      <c r="C239" s="97"/>
      <c r="D239" s="91"/>
      <c r="E239" s="58">
        <v>8181</v>
      </c>
      <c r="F239" s="58"/>
      <c r="G239" s="58"/>
    </row>
    <row r="240" spans="1:7" ht="12.75">
      <c r="A240" s="131"/>
      <c r="B240" s="139"/>
      <c r="C240" s="97"/>
      <c r="D240" s="91"/>
      <c r="E240" s="58"/>
      <c r="F240" s="58"/>
      <c r="G240" s="58"/>
    </row>
    <row r="241" spans="1:7" ht="12.75">
      <c r="A241" s="131"/>
      <c r="B241" s="114" t="s">
        <v>622</v>
      </c>
      <c r="C241" s="97"/>
      <c r="D241" s="91"/>
      <c r="E241" s="58"/>
      <c r="F241" s="58"/>
      <c r="G241" s="58"/>
    </row>
    <row r="242" spans="1:7" ht="12.75">
      <c r="A242" s="131"/>
      <c r="B242" s="139" t="s">
        <v>481</v>
      </c>
      <c r="C242" s="97"/>
      <c r="D242" s="91"/>
      <c r="E242" s="58">
        <v>2572</v>
      </c>
      <c r="F242" s="58"/>
      <c r="G242" s="58"/>
    </row>
    <row r="243" spans="1:7" ht="12.75">
      <c r="A243" s="131"/>
      <c r="B243" s="139"/>
      <c r="C243" s="97"/>
      <c r="D243" s="91"/>
      <c r="E243" s="58"/>
      <c r="F243" s="58"/>
      <c r="G243" s="58"/>
    </row>
    <row r="244" spans="1:8" ht="13.5" thickBot="1">
      <c r="A244" s="131"/>
      <c r="B244" s="62"/>
      <c r="C244" s="97"/>
      <c r="D244" s="91"/>
      <c r="E244" s="61">
        <f>SUM(E209:E243)</f>
        <v>820131</v>
      </c>
      <c r="F244" s="60"/>
      <c r="G244" s="61">
        <f>SUM(G209:G243)</f>
        <v>543501</v>
      </c>
      <c r="H244" s="75"/>
    </row>
    <row r="245" spans="1:8" ht="13.5" thickTop="1">
      <c r="A245" s="131"/>
      <c r="B245" s="62"/>
      <c r="C245" s="97"/>
      <c r="D245" s="91"/>
      <c r="E245" s="58"/>
      <c r="F245" s="60"/>
      <c r="G245" s="60"/>
      <c r="H245" s="75"/>
    </row>
    <row r="246" spans="1:7" ht="12.75">
      <c r="A246" s="131"/>
      <c r="B246" s="43" t="s">
        <v>101</v>
      </c>
      <c r="C246" s="97"/>
      <c r="D246" s="87"/>
      <c r="E246" s="87"/>
      <c r="F246" s="87"/>
      <c r="G246" s="87"/>
    </row>
    <row r="247" spans="2:7" ht="12.75">
      <c r="B247" s="43" t="s">
        <v>665</v>
      </c>
      <c r="C247" s="97"/>
      <c r="D247" s="87"/>
      <c r="E247" s="87"/>
      <c r="F247" s="87"/>
      <c r="G247" s="87"/>
    </row>
    <row r="248" spans="2:7" ht="12.75">
      <c r="B248" s="42" t="s">
        <v>123</v>
      </c>
      <c r="C248" s="97"/>
      <c r="D248" s="96"/>
      <c r="E248" s="58">
        <v>45093.25</v>
      </c>
      <c r="F248" s="60"/>
      <c r="G248" s="60"/>
    </row>
    <row r="249" spans="2:7" ht="12.75">
      <c r="B249" s="62" t="s">
        <v>125</v>
      </c>
      <c r="C249" s="97"/>
      <c r="D249" s="87"/>
      <c r="E249" s="58"/>
      <c r="F249" s="87"/>
      <c r="G249" s="87"/>
    </row>
    <row r="250" spans="2:7" ht="12.75">
      <c r="B250" s="62" t="s">
        <v>126</v>
      </c>
      <c r="C250" s="97"/>
      <c r="D250" s="87"/>
      <c r="E250" s="58">
        <v>1988</v>
      </c>
      <c r="F250" s="87"/>
      <c r="G250" s="87">
        <v>9459.75</v>
      </c>
    </row>
    <row r="251" spans="2:7" ht="12.75">
      <c r="B251" s="62" t="s">
        <v>72</v>
      </c>
      <c r="C251" s="97"/>
      <c r="D251" s="87"/>
      <c r="E251" s="58">
        <v>96600</v>
      </c>
      <c r="F251" s="87"/>
      <c r="G251" s="58">
        <v>113650</v>
      </c>
    </row>
    <row r="252" spans="2:7" ht="12.75">
      <c r="B252" s="62" t="s">
        <v>127</v>
      </c>
      <c r="C252" s="97"/>
      <c r="D252" s="87"/>
      <c r="E252" s="58"/>
      <c r="F252" s="87"/>
      <c r="G252" s="58">
        <v>9930</v>
      </c>
    </row>
    <row r="253" spans="2:7" ht="12.75">
      <c r="B253" s="62" t="s">
        <v>292</v>
      </c>
      <c r="C253" s="97"/>
      <c r="D253" s="87"/>
      <c r="E253" s="58"/>
      <c r="F253" s="87"/>
      <c r="G253" s="58">
        <v>23029</v>
      </c>
    </row>
    <row r="254" spans="1:8" ht="13.5" thickBot="1">
      <c r="A254" s="97"/>
      <c r="C254" s="97"/>
      <c r="D254" s="96"/>
      <c r="E254" s="61">
        <f>SUM(E248:E253)</f>
        <v>143681.25</v>
      </c>
      <c r="F254" s="87"/>
      <c r="G254" s="61">
        <f>SUM(G248:G253)</f>
        <v>156068.75</v>
      </c>
      <c r="H254" s="75"/>
    </row>
    <row r="255" spans="1:8" ht="13.5" thickTop="1">
      <c r="A255" s="97"/>
      <c r="C255" s="97"/>
      <c r="D255" s="96"/>
      <c r="E255" s="58"/>
      <c r="F255" s="87"/>
      <c r="G255" s="60"/>
      <c r="H255" s="75"/>
    </row>
    <row r="256" spans="2:8" ht="12.75">
      <c r="B256" s="43" t="s">
        <v>199</v>
      </c>
      <c r="C256" s="97"/>
      <c r="D256" s="96"/>
      <c r="E256" s="58"/>
      <c r="F256" s="87"/>
      <c r="G256" s="60"/>
      <c r="H256" s="75"/>
    </row>
    <row r="257" spans="2:7" ht="12.75">
      <c r="B257" s="43" t="s">
        <v>666</v>
      </c>
      <c r="C257" s="97"/>
      <c r="D257" s="87"/>
      <c r="E257" s="60"/>
      <c r="F257" s="87"/>
      <c r="G257" s="87"/>
    </row>
    <row r="258" spans="2:7" ht="12.75">
      <c r="B258" s="113" t="s">
        <v>128</v>
      </c>
      <c r="C258" s="94"/>
      <c r="D258" s="87"/>
      <c r="E258" s="87"/>
      <c r="F258" s="87"/>
      <c r="G258" s="87"/>
    </row>
    <row r="259" spans="2:12" ht="12.75">
      <c r="B259" s="62" t="s">
        <v>29</v>
      </c>
      <c r="C259" s="97"/>
      <c r="D259" s="87"/>
      <c r="E259" s="60"/>
      <c r="F259" s="87"/>
      <c r="G259" s="60"/>
      <c r="K259" s="75"/>
      <c r="L259" s="75"/>
    </row>
    <row r="260" spans="2:7" ht="12.75">
      <c r="B260" s="62" t="s">
        <v>129</v>
      </c>
      <c r="C260" s="97"/>
      <c r="D260" s="96"/>
      <c r="E260" s="58"/>
      <c r="F260" s="87"/>
      <c r="G260" s="58"/>
    </row>
    <row r="261" spans="2:7" ht="12.75">
      <c r="B261" s="62" t="s">
        <v>130</v>
      </c>
      <c r="C261" s="97"/>
      <c r="D261" s="87"/>
      <c r="E261" s="58"/>
      <c r="F261" s="87"/>
      <c r="G261" s="58">
        <v>28800</v>
      </c>
    </row>
    <row r="262" spans="2:7" ht="12.75">
      <c r="B262" s="62" t="s">
        <v>131</v>
      </c>
      <c r="C262" s="97"/>
      <c r="D262" s="87"/>
      <c r="E262" s="60"/>
      <c r="F262" s="89"/>
      <c r="G262" s="60"/>
    </row>
    <row r="263" spans="2:7" ht="12.75">
      <c r="B263" s="62" t="s">
        <v>132</v>
      </c>
      <c r="C263" s="97"/>
      <c r="D263" s="87"/>
      <c r="E263" s="58"/>
      <c r="F263" s="86"/>
      <c r="G263" s="58">
        <v>16757</v>
      </c>
    </row>
    <row r="264" spans="2:7" ht="12.75">
      <c r="B264" s="62" t="s">
        <v>133</v>
      </c>
      <c r="C264" s="97"/>
      <c r="D264" s="87"/>
      <c r="E264" s="58"/>
      <c r="F264" s="87"/>
      <c r="G264" s="58">
        <v>2695.3</v>
      </c>
    </row>
    <row r="265" spans="1:7" ht="12.75">
      <c r="A265" s="131"/>
      <c r="B265" s="95" t="s">
        <v>309</v>
      </c>
      <c r="C265" s="97"/>
      <c r="D265" s="87"/>
      <c r="E265" s="58"/>
      <c r="F265" s="87"/>
      <c r="G265" s="58">
        <v>11824</v>
      </c>
    </row>
    <row r="266" spans="1:7" ht="12.75">
      <c r="A266" s="131"/>
      <c r="B266" s="95" t="s">
        <v>171</v>
      </c>
      <c r="C266" s="97"/>
      <c r="D266" s="87"/>
      <c r="E266" s="58"/>
      <c r="F266" s="87"/>
      <c r="G266" s="58">
        <v>12000</v>
      </c>
    </row>
    <row r="267" spans="1:7" ht="12.75">
      <c r="A267" s="131"/>
      <c r="B267" s="95" t="s">
        <v>310</v>
      </c>
      <c r="C267" s="97"/>
      <c r="D267" s="87"/>
      <c r="E267" s="58"/>
      <c r="F267" s="87"/>
      <c r="G267" s="58">
        <v>18003</v>
      </c>
    </row>
    <row r="268" spans="1:7" ht="12.75">
      <c r="A268" s="131"/>
      <c r="B268" s="62"/>
      <c r="C268" s="97"/>
      <c r="D268" s="87"/>
      <c r="E268" s="87"/>
      <c r="F268" s="87"/>
      <c r="G268" s="87"/>
    </row>
    <row r="269" spans="1:7" ht="12.75">
      <c r="A269" s="131"/>
      <c r="B269" s="115" t="s">
        <v>311</v>
      </c>
      <c r="C269" s="97"/>
      <c r="D269" s="87"/>
      <c r="E269" s="58"/>
      <c r="F269" s="87"/>
      <c r="G269" s="58"/>
    </row>
    <row r="270" spans="1:7" ht="12.75">
      <c r="A270" s="131"/>
      <c r="B270" s="95" t="s">
        <v>312</v>
      </c>
      <c r="C270" s="97"/>
      <c r="D270" s="87"/>
      <c r="E270" s="58"/>
      <c r="F270" s="87"/>
      <c r="G270" s="58">
        <v>124512</v>
      </c>
    </row>
    <row r="271" spans="1:7" ht="12.75">
      <c r="A271" s="131"/>
      <c r="B271" s="95" t="s">
        <v>313</v>
      </c>
      <c r="C271" s="97"/>
      <c r="D271" s="87"/>
      <c r="E271" s="58"/>
      <c r="F271" s="87"/>
      <c r="G271" s="58">
        <v>24696</v>
      </c>
    </row>
    <row r="272" spans="1:7" ht="12.75">
      <c r="A272" s="131"/>
      <c r="B272" s="95" t="s">
        <v>314</v>
      </c>
      <c r="C272" s="97"/>
      <c r="D272" s="87"/>
      <c r="E272" s="58"/>
      <c r="F272" s="87"/>
      <c r="G272" s="58">
        <v>26853</v>
      </c>
    </row>
    <row r="273" spans="1:7" ht="12.75">
      <c r="A273" s="131"/>
      <c r="B273" s="95"/>
      <c r="C273" s="97"/>
      <c r="D273" s="87"/>
      <c r="E273" s="58"/>
      <c r="F273" s="87"/>
      <c r="G273" s="58"/>
    </row>
    <row r="274" spans="1:7" ht="12.75">
      <c r="A274" s="131"/>
      <c r="B274" s="113" t="s">
        <v>134</v>
      </c>
      <c r="C274" s="97"/>
      <c r="D274" s="87"/>
      <c r="E274" s="58"/>
      <c r="F274" s="87"/>
      <c r="G274" s="58"/>
    </row>
    <row r="275" spans="2:7" ht="12.75">
      <c r="B275" s="62" t="s">
        <v>135</v>
      </c>
      <c r="C275" s="98"/>
      <c r="D275" s="87"/>
      <c r="E275" s="58"/>
      <c r="F275" s="87"/>
      <c r="G275" s="58">
        <v>5000</v>
      </c>
    </row>
    <row r="276" spans="2:7" ht="12.75">
      <c r="B276" s="62" t="s">
        <v>315</v>
      </c>
      <c r="C276" s="98"/>
      <c r="D276" s="87"/>
      <c r="E276" s="58"/>
      <c r="F276" s="87"/>
      <c r="G276" s="58">
        <v>37999.6</v>
      </c>
    </row>
    <row r="277" spans="2:7" ht="12.75">
      <c r="B277" s="62" t="s">
        <v>316</v>
      </c>
      <c r="C277" s="98"/>
      <c r="D277" s="87"/>
      <c r="E277" s="58"/>
      <c r="F277" s="87"/>
      <c r="G277" s="58">
        <v>5450</v>
      </c>
    </row>
    <row r="278" spans="2:7" ht="12.75">
      <c r="B278" s="62" t="s">
        <v>317</v>
      </c>
      <c r="C278" s="98"/>
      <c r="D278" s="87"/>
      <c r="E278" s="91"/>
      <c r="F278" s="87"/>
      <c r="G278" s="91">
        <v>550</v>
      </c>
    </row>
    <row r="279" spans="2:7" ht="12.75">
      <c r="B279" s="44"/>
      <c r="C279" s="98"/>
      <c r="D279" s="87"/>
      <c r="E279" s="87"/>
      <c r="F279" s="87"/>
      <c r="G279" s="87"/>
    </row>
    <row r="280" spans="2:7" ht="12.75">
      <c r="B280" s="113" t="s">
        <v>84</v>
      </c>
      <c r="C280" s="98"/>
      <c r="D280" s="87"/>
      <c r="E280" s="58"/>
      <c r="F280" s="87"/>
      <c r="G280" s="58"/>
    </row>
    <row r="281" spans="2:7" ht="12.75">
      <c r="B281" s="62" t="s">
        <v>136</v>
      </c>
      <c r="C281" s="98"/>
      <c r="D281" s="87"/>
      <c r="E281" s="91"/>
      <c r="F281" s="87"/>
      <c r="G281" s="91">
        <v>6418</v>
      </c>
    </row>
    <row r="282" spans="2:7" ht="12.75">
      <c r="B282" s="44"/>
      <c r="C282" s="79"/>
      <c r="D282" s="87"/>
      <c r="E282" s="87"/>
      <c r="F282" s="87"/>
      <c r="G282" s="87"/>
    </row>
    <row r="283" spans="2:7" ht="12.75">
      <c r="B283" s="113" t="s">
        <v>137</v>
      </c>
      <c r="C283" s="97"/>
      <c r="D283" s="87"/>
      <c r="E283" s="87"/>
      <c r="F283" s="87"/>
      <c r="G283" s="87"/>
    </row>
    <row r="284" spans="2:7" ht="12.75">
      <c r="B284" s="62" t="s">
        <v>318</v>
      </c>
      <c r="C284" s="97"/>
      <c r="D284" s="87"/>
      <c r="E284" s="58"/>
      <c r="F284" s="87"/>
      <c r="G284" s="58">
        <v>10000</v>
      </c>
    </row>
    <row r="285" spans="2:7" ht="12.75">
      <c r="B285" s="62" t="s">
        <v>319</v>
      </c>
      <c r="C285" s="97"/>
      <c r="D285" s="87"/>
      <c r="E285" s="58"/>
      <c r="F285" s="87"/>
      <c r="G285" s="58">
        <v>25900</v>
      </c>
    </row>
    <row r="286" spans="2:7" ht="12.75">
      <c r="B286" s="62" t="s">
        <v>320</v>
      </c>
      <c r="C286" s="97"/>
      <c r="D286" s="87"/>
      <c r="E286" s="91"/>
      <c r="F286" s="87"/>
      <c r="G286" s="91">
        <v>36000</v>
      </c>
    </row>
    <row r="287" spans="2:7" ht="12.75">
      <c r="B287" s="62" t="s">
        <v>321</v>
      </c>
      <c r="C287" s="97"/>
      <c r="D287" s="87"/>
      <c r="E287" s="91"/>
      <c r="F287" s="87"/>
      <c r="G287" s="91">
        <v>22600</v>
      </c>
    </row>
    <row r="288" spans="2:7" ht="12.75">
      <c r="B288" s="62" t="s">
        <v>322</v>
      </c>
      <c r="C288" s="97"/>
      <c r="D288" s="87"/>
      <c r="E288" s="91"/>
      <c r="F288" s="87"/>
      <c r="G288" s="91">
        <v>-3000</v>
      </c>
    </row>
    <row r="289" spans="2:7" ht="12.75">
      <c r="B289" s="62" t="s">
        <v>323</v>
      </c>
      <c r="C289" s="97"/>
      <c r="D289" s="87"/>
      <c r="E289" s="91"/>
      <c r="F289" s="87"/>
      <c r="G289" s="91">
        <v>96050</v>
      </c>
    </row>
    <row r="290" spans="2:7" ht="12.75">
      <c r="B290" s="46"/>
      <c r="C290" s="97"/>
      <c r="D290" s="87"/>
      <c r="E290" s="87"/>
      <c r="F290" s="87"/>
      <c r="G290" s="87"/>
    </row>
    <row r="291" spans="2:7" ht="12.75">
      <c r="B291" s="62"/>
      <c r="C291" s="97"/>
      <c r="D291" s="58"/>
      <c r="E291" s="58"/>
      <c r="F291" s="58"/>
      <c r="G291" s="58"/>
    </row>
    <row r="292" spans="2:7" ht="12.75">
      <c r="B292" s="113" t="s">
        <v>138</v>
      </c>
      <c r="C292" s="97"/>
      <c r="D292" s="58"/>
      <c r="E292" s="58"/>
      <c r="F292" s="58"/>
      <c r="G292" s="58"/>
    </row>
    <row r="293" spans="2:7" ht="12.75">
      <c r="B293" s="62" t="s">
        <v>139</v>
      </c>
      <c r="C293" s="97"/>
      <c r="D293" s="87"/>
      <c r="E293" s="58"/>
      <c r="F293" s="87"/>
      <c r="G293" s="58">
        <v>129578.5</v>
      </c>
    </row>
    <row r="294" spans="2:7" ht="12.75">
      <c r="B294" s="62" t="s">
        <v>140</v>
      </c>
      <c r="C294" s="97"/>
      <c r="D294" s="87"/>
      <c r="E294" s="60"/>
      <c r="F294" s="87"/>
      <c r="G294" s="60"/>
    </row>
    <row r="295" spans="2:7" ht="12.75">
      <c r="B295" s="62" t="s">
        <v>141</v>
      </c>
      <c r="C295" s="97"/>
      <c r="D295" s="87"/>
      <c r="E295" s="87"/>
      <c r="F295" s="87"/>
      <c r="G295" s="87"/>
    </row>
    <row r="296" spans="2:7" ht="12.75">
      <c r="B296" s="62" t="s">
        <v>142</v>
      </c>
      <c r="C296" s="97"/>
      <c r="D296" s="87"/>
      <c r="E296" s="87"/>
      <c r="F296" s="87"/>
      <c r="G296" s="87"/>
    </row>
    <row r="297" spans="2:7" ht="12.75">
      <c r="B297" s="62" t="s">
        <v>143</v>
      </c>
      <c r="C297" s="97"/>
      <c r="D297" s="87"/>
      <c r="E297" s="58"/>
      <c r="F297" s="87"/>
      <c r="G297" s="58">
        <v>27358</v>
      </c>
    </row>
    <row r="298" spans="2:7" ht="12.75">
      <c r="B298" s="62" t="s">
        <v>144</v>
      </c>
      <c r="C298" s="97"/>
      <c r="D298" s="87"/>
      <c r="E298" s="87"/>
      <c r="F298" s="87"/>
      <c r="G298" s="87"/>
    </row>
    <row r="299" spans="2:7" ht="12.75">
      <c r="B299" s="62" t="s">
        <v>145</v>
      </c>
      <c r="C299" s="97"/>
      <c r="D299" s="87"/>
      <c r="E299" s="87"/>
      <c r="F299" s="87"/>
      <c r="G299" s="87"/>
    </row>
    <row r="300" spans="2:7" ht="12.75">
      <c r="B300" s="62" t="s">
        <v>146</v>
      </c>
      <c r="C300" s="79"/>
      <c r="D300" s="87"/>
      <c r="E300" s="58"/>
      <c r="F300" s="87"/>
      <c r="G300" s="58">
        <v>84750</v>
      </c>
    </row>
    <row r="301" spans="2:7" ht="12.75">
      <c r="B301" s="62" t="s">
        <v>147</v>
      </c>
      <c r="C301" s="97"/>
      <c r="D301" s="87"/>
      <c r="E301" s="87"/>
      <c r="F301" s="87"/>
      <c r="G301" s="87"/>
    </row>
    <row r="302" spans="2:7" ht="12.75">
      <c r="B302" s="62" t="s">
        <v>148</v>
      </c>
      <c r="C302" s="97"/>
      <c r="D302" s="87"/>
      <c r="E302" s="58"/>
      <c r="F302" s="58"/>
      <c r="G302" s="58"/>
    </row>
    <row r="303" spans="2:7" ht="12.75">
      <c r="B303" s="62" t="s">
        <v>326</v>
      </c>
      <c r="C303" s="97"/>
      <c r="D303" s="58"/>
      <c r="E303" s="58"/>
      <c r="F303" s="58"/>
      <c r="G303" s="58">
        <v>720</v>
      </c>
    </row>
    <row r="304" spans="2:7" ht="12.75">
      <c r="B304" s="62" t="s">
        <v>149</v>
      </c>
      <c r="C304" s="97"/>
      <c r="D304" s="58"/>
      <c r="E304" s="60"/>
      <c r="F304" s="58"/>
      <c r="G304" s="60"/>
    </row>
    <row r="305" spans="2:7" ht="12.75">
      <c r="B305" s="62" t="s">
        <v>150</v>
      </c>
      <c r="C305" s="97"/>
      <c r="D305" s="60"/>
      <c r="E305" s="58"/>
      <c r="F305" s="87"/>
      <c r="G305" s="58">
        <v>1672.5</v>
      </c>
    </row>
    <row r="306" spans="2:7" ht="12.75">
      <c r="B306" s="62" t="s">
        <v>151</v>
      </c>
      <c r="C306" s="97"/>
      <c r="D306" s="87"/>
      <c r="E306" s="87"/>
      <c r="F306" s="87"/>
      <c r="G306" s="87"/>
    </row>
    <row r="307" spans="2:7" ht="12.75">
      <c r="B307" s="62" t="s">
        <v>152</v>
      </c>
      <c r="C307" s="97"/>
      <c r="D307" s="87"/>
      <c r="E307" s="58"/>
      <c r="F307" s="87"/>
      <c r="G307" s="58">
        <v>85800</v>
      </c>
    </row>
    <row r="308" spans="2:7" ht="12.75">
      <c r="B308" s="62" t="s">
        <v>153</v>
      </c>
      <c r="C308" s="97"/>
      <c r="D308" s="58"/>
      <c r="E308" s="58"/>
      <c r="F308" s="87"/>
      <c r="G308" s="58">
        <v>13352.5</v>
      </c>
    </row>
    <row r="309" spans="2:7" ht="12.75">
      <c r="B309" s="62" t="s">
        <v>154</v>
      </c>
      <c r="C309" s="97"/>
      <c r="D309" s="87"/>
      <c r="E309" s="87"/>
      <c r="F309" s="87"/>
      <c r="G309" s="87"/>
    </row>
    <row r="310" spans="2:7" ht="12.75">
      <c r="B310" s="95" t="s">
        <v>324</v>
      </c>
      <c r="C310" s="97"/>
      <c r="D310" s="87"/>
      <c r="E310" s="58"/>
      <c r="F310" s="87"/>
      <c r="G310" s="58">
        <v>73800</v>
      </c>
    </row>
    <row r="311" spans="2:7" ht="12.75">
      <c r="B311" s="95" t="s">
        <v>325</v>
      </c>
      <c r="C311" s="97"/>
      <c r="D311" s="87"/>
      <c r="E311" s="58"/>
      <c r="F311" s="87"/>
      <c r="G311" s="58">
        <v>203400</v>
      </c>
    </row>
    <row r="312" spans="2:7" ht="12.75">
      <c r="B312" s="62"/>
      <c r="C312" s="97"/>
      <c r="D312" s="87"/>
      <c r="E312" s="87"/>
      <c r="F312" s="87"/>
      <c r="G312" s="58"/>
    </row>
    <row r="313" spans="1:8" ht="13.5" thickBot="1">
      <c r="A313" s="131"/>
      <c r="B313" s="62"/>
      <c r="C313" s="97"/>
      <c r="D313" s="87"/>
      <c r="E313" s="61">
        <f>SUM(E258:E312)</f>
        <v>0</v>
      </c>
      <c r="F313" s="87"/>
      <c r="G313" s="61">
        <f>SUM(G259:G311)</f>
        <v>1129539.4</v>
      </c>
      <c r="H313" s="75"/>
    </row>
    <row r="314" spans="1:7" ht="13.5" thickTop="1">
      <c r="A314" s="131"/>
      <c r="B314" s="62"/>
      <c r="C314" s="97"/>
      <c r="D314" s="87"/>
      <c r="E314" s="87"/>
      <c r="F314" s="87"/>
      <c r="G314" s="87"/>
    </row>
    <row r="315" spans="1:7" ht="12.75">
      <c r="A315" s="131"/>
      <c r="B315" s="62"/>
      <c r="C315" s="97"/>
      <c r="D315" s="87"/>
      <c r="E315" s="87"/>
      <c r="F315" s="87"/>
      <c r="G315" s="87"/>
    </row>
    <row r="316" spans="1:7" ht="12.75">
      <c r="A316" s="131"/>
      <c r="B316" s="62"/>
      <c r="C316" s="97"/>
      <c r="D316" s="87"/>
      <c r="E316" s="87"/>
      <c r="F316" s="87"/>
      <c r="G316" s="87"/>
    </row>
    <row r="317" spans="1:7" ht="12.75">
      <c r="A317" s="131"/>
      <c r="B317" s="62"/>
      <c r="C317" s="97"/>
      <c r="D317" s="87"/>
      <c r="E317" s="87"/>
      <c r="F317" s="87"/>
      <c r="G317" s="87"/>
    </row>
    <row r="318" spans="1:7" ht="12.75">
      <c r="A318" s="131"/>
      <c r="B318" s="62"/>
      <c r="C318" s="97"/>
      <c r="D318" s="87"/>
      <c r="E318" s="87"/>
      <c r="F318" s="87"/>
      <c r="G318" s="87"/>
    </row>
    <row r="319" spans="1:7" ht="12.75">
      <c r="A319" s="97"/>
      <c r="B319" s="62"/>
      <c r="C319" s="97"/>
      <c r="D319" s="87"/>
      <c r="E319" s="87"/>
      <c r="F319" s="87"/>
      <c r="G319" s="87"/>
    </row>
    <row r="320" spans="1:7" ht="12.75">
      <c r="A320" s="97"/>
      <c r="B320" s="72" t="s">
        <v>194</v>
      </c>
      <c r="C320" s="97"/>
      <c r="D320" s="87"/>
      <c r="E320" s="87"/>
      <c r="F320" s="87"/>
      <c r="G320" s="87"/>
    </row>
    <row r="321" spans="1:7" ht="12.75">
      <c r="A321" s="97"/>
      <c r="B321" s="43" t="s">
        <v>667</v>
      </c>
      <c r="C321" s="97"/>
      <c r="D321" s="87"/>
      <c r="E321" s="87"/>
      <c r="F321" s="87"/>
      <c r="G321" s="87"/>
    </row>
    <row r="322" spans="1:7" ht="12.75">
      <c r="A322" s="97"/>
      <c r="B322" s="113" t="s">
        <v>633</v>
      </c>
      <c r="C322" s="97"/>
      <c r="D322" s="87"/>
      <c r="E322" s="87"/>
      <c r="F322" s="87"/>
      <c r="G322" s="87"/>
    </row>
    <row r="323" spans="1:7" ht="12.75">
      <c r="A323" s="97"/>
      <c r="B323" s="95" t="s">
        <v>301</v>
      </c>
      <c r="C323" s="97"/>
      <c r="D323" s="87"/>
      <c r="E323" s="58"/>
      <c r="F323" s="87"/>
      <c r="G323" s="58">
        <v>2290</v>
      </c>
    </row>
    <row r="324" spans="1:7" ht="12.75">
      <c r="A324" s="97"/>
      <c r="B324" s="95" t="s">
        <v>305</v>
      </c>
      <c r="C324" s="97"/>
      <c r="D324" s="87"/>
      <c r="E324" s="58">
        <v>498</v>
      </c>
      <c r="F324" s="87"/>
      <c r="G324" s="58">
        <v>3191.5</v>
      </c>
    </row>
    <row r="325" spans="1:7" ht="12.75">
      <c r="A325" s="97"/>
      <c r="B325" s="95" t="s">
        <v>302</v>
      </c>
      <c r="C325" s="97"/>
      <c r="D325" s="87"/>
      <c r="E325" s="58"/>
      <c r="F325" s="87"/>
      <c r="G325" s="58">
        <v>4975.5</v>
      </c>
    </row>
    <row r="326" spans="1:7" ht="12.75">
      <c r="A326" s="97"/>
      <c r="B326" s="95" t="s">
        <v>303</v>
      </c>
      <c r="C326" s="97"/>
      <c r="D326" s="87"/>
      <c r="E326" s="58">
        <v>3050.25</v>
      </c>
      <c r="F326" s="87"/>
      <c r="G326" s="58">
        <v>1250</v>
      </c>
    </row>
    <row r="327" spans="1:7" ht="12.75">
      <c r="A327" s="97"/>
      <c r="B327" s="95"/>
      <c r="C327" s="97"/>
      <c r="D327" s="87"/>
      <c r="E327" s="58"/>
      <c r="F327" s="87"/>
      <c r="G327" s="58"/>
    </row>
    <row r="328" spans="1:7" ht="12.75">
      <c r="A328" s="97"/>
      <c r="B328" s="115" t="s">
        <v>640</v>
      </c>
      <c r="C328" s="97"/>
      <c r="D328" s="87"/>
      <c r="E328" s="58"/>
      <c r="F328" s="87"/>
      <c r="G328" s="58"/>
    </row>
    <row r="329" spans="1:7" ht="12.75">
      <c r="A329" s="97"/>
      <c r="B329" s="95" t="s">
        <v>304</v>
      </c>
      <c r="C329" s="97"/>
      <c r="D329" s="87"/>
      <c r="E329" s="58">
        <v>48000</v>
      </c>
      <c r="F329" s="87"/>
      <c r="G329" s="58">
        <v>36000</v>
      </c>
    </row>
    <row r="330" spans="1:7" ht="12.75">
      <c r="A330" s="97"/>
      <c r="B330" s="95" t="s">
        <v>306</v>
      </c>
      <c r="C330" s="97"/>
      <c r="D330" s="87"/>
      <c r="E330" s="58"/>
      <c r="F330" s="87"/>
      <c r="G330" s="58">
        <v>12000</v>
      </c>
    </row>
    <row r="331" spans="1:7" ht="12.75">
      <c r="A331" s="97"/>
      <c r="B331" s="95" t="s">
        <v>487</v>
      </c>
      <c r="C331" s="97"/>
      <c r="D331" s="97"/>
      <c r="E331" s="58">
        <v>39600</v>
      </c>
      <c r="F331" s="87"/>
      <c r="G331" s="58">
        <v>36000</v>
      </c>
    </row>
    <row r="332" spans="1:7" ht="12.75">
      <c r="A332" s="97"/>
      <c r="C332" s="97"/>
      <c r="D332" s="97"/>
      <c r="E332" s="87"/>
      <c r="F332" s="87"/>
      <c r="G332" s="87"/>
    </row>
    <row r="333" spans="1:7" ht="12.75">
      <c r="A333" s="97"/>
      <c r="B333" s="65"/>
      <c r="C333" s="97"/>
      <c r="D333" s="97"/>
      <c r="E333" s="109"/>
      <c r="F333" s="87"/>
      <c r="G333" s="58"/>
    </row>
    <row r="334" spans="1:7" ht="12.75">
      <c r="A334" s="97"/>
      <c r="B334" s="116" t="s">
        <v>641</v>
      </c>
      <c r="C334" s="97"/>
      <c r="D334" s="97"/>
      <c r="E334" s="87"/>
      <c r="F334" s="87"/>
      <c r="G334" s="87"/>
    </row>
    <row r="335" spans="1:7" ht="12.75">
      <c r="A335" s="97"/>
      <c r="B335" s="95" t="s">
        <v>29</v>
      </c>
      <c r="C335" s="97"/>
      <c r="D335" s="87"/>
      <c r="E335" s="58">
        <v>40</v>
      </c>
      <c r="F335" s="87"/>
      <c r="G335" s="58"/>
    </row>
    <row r="336" spans="1:7" ht="12.75">
      <c r="A336" s="97"/>
      <c r="B336" s="95" t="s">
        <v>168</v>
      </c>
      <c r="C336" s="97"/>
      <c r="D336" s="87"/>
      <c r="E336" s="109">
        <v>1638</v>
      </c>
      <c r="F336" s="87"/>
      <c r="G336" s="58"/>
    </row>
    <row r="337" spans="1:7" ht="12.75">
      <c r="A337" s="97"/>
      <c r="B337" s="65"/>
      <c r="C337" s="97"/>
      <c r="D337" s="97"/>
      <c r="E337" s="109"/>
      <c r="F337" s="87"/>
      <c r="G337" s="58"/>
    </row>
    <row r="338" spans="1:7" ht="12.75">
      <c r="A338" s="97"/>
      <c r="B338" s="116" t="s">
        <v>74</v>
      </c>
      <c r="C338" s="97"/>
      <c r="D338" s="97"/>
      <c r="E338" s="87"/>
      <c r="F338" s="87"/>
      <c r="G338" s="87"/>
    </row>
    <row r="339" spans="1:7" ht="12.75">
      <c r="A339" s="97"/>
      <c r="B339" s="95" t="s">
        <v>488</v>
      </c>
      <c r="C339" s="97"/>
      <c r="D339" s="87"/>
      <c r="E339" s="58">
        <v>1614</v>
      </c>
      <c r="F339" s="87"/>
      <c r="G339" s="58"/>
    </row>
    <row r="340" spans="1:7" ht="12.75">
      <c r="A340" s="97"/>
      <c r="B340" s="95" t="s">
        <v>489</v>
      </c>
      <c r="C340" s="97"/>
      <c r="D340" s="87"/>
      <c r="E340" s="58">
        <v>4000</v>
      </c>
      <c r="F340" s="87"/>
      <c r="G340" s="58"/>
    </row>
    <row r="341" spans="1:7" ht="12.75">
      <c r="A341" s="97"/>
      <c r="B341" s="95" t="s">
        <v>490</v>
      </c>
      <c r="C341" s="97"/>
      <c r="D341" s="87"/>
      <c r="E341" s="58">
        <v>2469</v>
      </c>
      <c r="F341" s="87"/>
      <c r="G341" s="58"/>
    </row>
    <row r="342" spans="1:7" ht="12.75">
      <c r="A342" s="97"/>
      <c r="B342" s="95"/>
      <c r="C342" s="97"/>
      <c r="D342" s="87"/>
      <c r="E342" s="58"/>
      <c r="F342" s="87"/>
      <c r="G342" s="58"/>
    </row>
    <row r="343" spans="1:7" ht="12.75">
      <c r="A343" s="97"/>
      <c r="B343" s="115" t="s">
        <v>642</v>
      </c>
      <c r="C343" s="97"/>
      <c r="D343" s="87"/>
      <c r="E343" s="58"/>
      <c r="F343" s="87"/>
      <c r="G343" s="58"/>
    </row>
    <row r="344" spans="1:7" ht="12.75">
      <c r="A344" s="97"/>
      <c r="B344" s="95" t="s">
        <v>175</v>
      </c>
      <c r="C344" s="97"/>
      <c r="D344" s="87"/>
      <c r="E344" s="58">
        <v>46169</v>
      </c>
      <c r="F344" s="87"/>
      <c r="G344" s="58">
        <v>47793.75</v>
      </c>
    </row>
    <row r="345" spans="1:7" ht="12.75">
      <c r="A345" s="97"/>
      <c r="B345" s="95" t="s">
        <v>454</v>
      </c>
      <c r="C345" s="97"/>
      <c r="D345" s="87"/>
      <c r="E345" s="58">
        <v>12000</v>
      </c>
      <c r="F345" s="87"/>
      <c r="G345" s="58">
        <v>12000</v>
      </c>
    </row>
    <row r="346" spans="1:7" ht="13.5" thickBot="1">
      <c r="A346" s="97"/>
      <c r="B346" s="62"/>
      <c r="C346" s="97"/>
      <c r="D346" s="87"/>
      <c r="E346" s="128">
        <f>SUM(E323:E345)</f>
        <v>159078.25</v>
      </c>
      <c r="F346" s="87"/>
      <c r="G346" s="61">
        <f>SUM(G323:G345)</f>
        <v>155500.75</v>
      </c>
    </row>
    <row r="347" spans="1:7" ht="13.5" thickTop="1">
      <c r="A347" s="97"/>
      <c r="B347" s="62"/>
      <c r="C347" s="97"/>
      <c r="D347" s="87"/>
      <c r="E347" s="87"/>
      <c r="F347" s="87"/>
      <c r="G347" s="58"/>
    </row>
    <row r="348" spans="1:7" ht="12.75">
      <c r="A348" s="97"/>
      <c r="B348" s="62"/>
      <c r="C348" s="97"/>
      <c r="D348" s="87"/>
      <c r="E348" s="87"/>
      <c r="F348" s="87"/>
      <c r="G348" s="87"/>
    </row>
    <row r="349" spans="1:7" ht="12.75">
      <c r="A349" s="97"/>
      <c r="B349" s="43" t="s">
        <v>200</v>
      </c>
      <c r="C349" s="97"/>
      <c r="D349" s="87"/>
      <c r="E349" s="87"/>
      <c r="F349" s="87"/>
      <c r="G349" s="87"/>
    </row>
    <row r="350" spans="1:7" ht="12.75">
      <c r="A350" s="97"/>
      <c r="B350" s="43" t="s">
        <v>668</v>
      </c>
      <c r="C350" s="97"/>
      <c r="D350" s="87"/>
      <c r="E350" s="87"/>
      <c r="F350" s="87"/>
      <c r="G350" s="87"/>
    </row>
    <row r="351" spans="1:7" ht="12.75">
      <c r="A351" s="97"/>
      <c r="B351" s="62" t="s">
        <v>769</v>
      </c>
      <c r="C351" s="97"/>
      <c r="D351" s="87"/>
      <c r="E351" s="58">
        <v>6000</v>
      </c>
      <c r="F351" s="87"/>
      <c r="G351" s="87"/>
    </row>
    <row r="352" spans="1:7" ht="12.75">
      <c r="A352" s="97"/>
      <c r="B352" s="62" t="s">
        <v>770</v>
      </c>
      <c r="C352" s="97"/>
      <c r="D352" s="87"/>
      <c r="E352" s="58">
        <v>1200</v>
      </c>
      <c r="F352" s="87"/>
      <c r="G352" s="87"/>
    </row>
    <row r="353" spans="1:7" ht="12.75">
      <c r="A353" s="97"/>
      <c r="B353" s="62" t="s">
        <v>771</v>
      </c>
      <c r="C353" s="97"/>
      <c r="D353" s="87"/>
      <c r="E353" s="58">
        <v>22206</v>
      </c>
      <c r="F353" s="87"/>
      <c r="G353" s="87"/>
    </row>
    <row r="354" spans="1:7" ht="12.75">
      <c r="A354" s="97"/>
      <c r="B354" s="62" t="s">
        <v>772</v>
      </c>
      <c r="C354" s="97"/>
      <c r="D354" s="87"/>
      <c r="E354" s="58">
        <v>9612</v>
      </c>
      <c r="F354" s="87"/>
      <c r="G354" s="87"/>
    </row>
    <row r="355" spans="1:7" ht="12.75">
      <c r="A355" s="97"/>
      <c r="B355" s="62" t="s">
        <v>773</v>
      </c>
      <c r="C355" s="97"/>
      <c r="D355" s="87"/>
      <c r="E355" s="58">
        <v>1580</v>
      </c>
      <c r="F355" s="87"/>
      <c r="G355" s="87"/>
    </row>
    <row r="356" spans="1:7" ht="12.75">
      <c r="A356" s="97"/>
      <c r="B356" s="62" t="s">
        <v>493</v>
      </c>
      <c r="C356" s="97"/>
      <c r="D356" s="87"/>
      <c r="E356" s="58">
        <v>8250</v>
      </c>
      <c r="F356" s="87"/>
      <c r="G356" s="58"/>
    </row>
    <row r="357" spans="1:7" ht="13.5" thickBot="1">
      <c r="A357" s="97"/>
      <c r="B357" s="95"/>
      <c r="C357" s="97"/>
      <c r="D357" s="87"/>
      <c r="E357" s="61">
        <f>SUM(E351:E356)</f>
        <v>48848</v>
      </c>
      <c r="F357" s="87"/>
      <c r="G357" s="61">
        <v>0</v>
      </c>
    </row>
    <row r="358" spans="1:7" ht="13.5" thickTop="1">
      <c r="A358" s="97"/>
      <c r="B358" s="95"/>
      <c r="C358" s="97"/>
      <c r="D358" s="87"/>
      <c r="E358" s="87"/>
      <c r="F358" s="87"/>
      <c r="G358" s="58"/>
    </row>
    <row r="359" spans="2:7" ht="12.75">
      <c r="B359" s="62"/>
      <c r="C359" s="97"/>
      <c r="D359" s="87"/>
      <c r="E359" s="60"/>
      <c r="F359" s="97"/>
      <c r="G359" s="60"/>
    </row>
    <row r="360" spans="2:7" ht="12.75">
      <c r="B360" s="43" t="s">
        <v>196</v>
      </c>
      <c r="C360" s="97"/>
      <c r="D360" s="87"/>
      <c r="E360" s="112"/>
      <c r="F360" s="87"/>
      <c r="G360" s="60"/>
    </row>
    <row r="361" spans="2:7" ht="12.75">
      <c r="B361" s="43" t="s">
        <v>669</v>
      </c>
      <c r="C361" s="97"/>
      <c r="D361" s="87"/>
      <c r="E361" s="87"/>
      <c r="F361" s="87"/>
      <c r="G361" s="87"/>
    </row>
    <row r="362" spans="2:7" ht="12.75">
      <c r="B362" s="113" t="s">
        <v>617</v>
      </c>
      <c r="C362" s="97"/>
      <c r="D362" s="87"/>
      <c r="E362" s="87"/>
      <c r="F362" s="87"/>
      <c r="G362" s="87"/>
    </row>
    <row r="363" spans="2:7" ht="12.75">
      <c r="B363" s="42" t="s">
        <v>160</v>
      </c>
      <c r="C363" s="97"/>
      <c r="D363" s="87"/>
      <c r="E363" s="58">
        <v>38000</v>
      </c>
      <c r="F363" s="87"/>
      <c r="G363" s="58">
        <v>580</v>
      </c>
    </row>
    <row r="364" spans="2:7" ht="12.75">
      <c r="B364" s="277" t="s">
        <v>157</v>
      </c>
      <c r="C364" s="278"/>
      <c r="D364" s="87"/>
      <c r="E364" s="58">
        <v>19203.5</v>
      </c>
      <c r="F364" s="87"/>
      <c r="G364" s="58"/>
    </row>
    <row r="365" spans="2:7" ht="12.75">
      <c r="B365" s="62" t="s">
        <v>158</v>
      </c>
      <c r="C365" s="97"/>
      <c r="D365" s="87"/>
      <c r="E365" s="58">
        <v>803</v>
      </c>
      <c r="F365" s="87"/>
      <c r="G365" s="58"/>
    </row>
    <row r="366" spans="2:7" ht="12.75">
      <c r="B366" s="62" t="s">
        <v>159</v>
      </c>
      <c r="C366" s="97"/>
      <c r="D366" s="87"/>
      <c r="E366" s="58">
        <v>5640</v>
      </c>
      <c r="F366" s="87"/>
      <c r="G366" s="58">
        <v>7875</v>
      </c>
    </row>
    <row r="367" spans="2:7" ht="12.75">
      <c r="B367" s="62" t="s">
        <v>161</v>
      </c>
      <c r="C367" s="97"/>
      <c r="D367" s="87"/>
      <c r="E367" s="58">
        <v>138095</v>
      </c>
      <c r="F367" s="87"/>
      <c r="G367" s="58">
        <v>87530</v>
      </c>
    </row>
    <row r="368" spans="2:7" ht="12.75">
      <c r="B368" s="62" t="s">
        <v>68</v>
      </c>
      <c r="C368" s="97"/>
      <c r="D368" s="58"/>
      <c r="E368" s="58">
        <v>2525</v>
      </c>
      <c r="F368" s="87"/>
      <c r="G368" s="58">
        <v>1030</v>
      </c>
    </row>
    <row r="369" spans="2:7" ht="12.75">
      <c r="B369" s="42" t="s">
        <v>162</v>
      </c>
      <c r="C369" s="97"/>
      <c r="D369" s="87"/>
      <c r="E369" s="60"/>
      <c r="F369" s="58"/>
      <c r="G369" s="60"/>
    </row>
    <row r="370" spans="2:7" ht="12.75">
      <c r="B370" s="62" t="s">
        <v>114</v>
      </c>
      <c r="C370" s="97"/>
      <c r="D370" s="87"/>
      <c r="E370" s="58">
        <v>8395</v>
      </c>
      <c r="F370" s="87"/>
      <c r="G370" s="58">
        <v>18321</v>
      </c>
    </row>
    <row r="371" spans="2:7" ht="12.75">
      <c r="B371" s="62" t="s">
        <v>30</v>
      </c>
      <c r="C371" s="97"/>
      <c r="D371" s="87"/>
      <c r="E371" s="58">
        <f>7373+1701.5</f>
        <v>9074.5</v>
      </c>
      <c r="F371" s="87"/>
      <c r="G371" s="58">
        <v>6050</v>
      </c>
    </row>
    <row r="372" spans="2:7" ht="12.75">
      <c r="B372" s="62" t="s">
        <v>339</v>
      </c>
      <c r="C372" s="97"/>
      <c r="D372" s="87"/>
      <c r="E372" s="58">
        <f>563+8711</f>
        <v>9274</v>
      </c>
      <c r="F372" s="87"/>
      <c r="G372" s="58">
        <v>4154</v>
      </c>
    </row>
    <row r="373" spans="2:7" ht="12.75">
      <c r="B373" s="62" t="s">
        <v>335</v>
      </c>
      <c r="C373" s="97"/>
      <c r="D373" s="87"/>
      <c r="E373" s="58"/>
      <c r="F373" s="87"/>
      <c r="G373" s="58"/>
    </row>
    <row r="374" spans="2:7" ht="12.75">
      <c r="B374" s="62" t="s">
        <v>292</v>
      </c>
      <c r="C374" s="97"/>
      <c r="D374" s="87"/>
      <c r="E374" s="58">
        <v>13053</v>
      </c>
      <c r="F374" s="87"/>
      <c r="G374" s="58">
        <v>26101</v>
      </c>
    </row>
    <row r="375" spans="2:7" ht="12.75">
      <c r="B375" s="62" t="s">
        <v>336</v>
      </c>
      <c r="C375" s="97"/>
      <c r="D375" s="87"/>
      <c r="E375" s="58">
        <v>58364</v>
      </c>
      <c r="F375" s="87"/>
      <c r="G375" s="58">
        <v>43618</v>
      </c>
    </row>
    <row r="376" spans="2:7" ht="12.75">
      <c r="B376" s="62" t="s">
        <v>331</v>
      </c>
      <c r="C376" s="97"/>
      <c r="D376" s="87"/>
      <c r="E376" s="58">
        <v>1719</v>
      </c>
      <c r="F376" s="87"/>
      <c r="G376" s="58">
        <v>1218</v>
      </c>
    </row>
    <row r="377" spans="2:7" ht="12.75">
      <c r="B377" s="62" t="s">
        <v>329</v>
      </c>
      <c r="C377" s="97"/>
      <c r="D377" s="87"/>
      <c r="E377" s="58">
        <v>16472</v>
      </c>
      <c r="F377" s="87"/>
      <c r="G377" s="58">
        <v>5604</v>
      </c>
    </row>
    <row r="378" spans="2:7" ht="12.75">
      <c r="B378" s="62" t="s">
        <v>337</v>
      </c>
      <c r="C378" s="97"/>
      <c r="D378" s="87"/>
      <c r="E378" s="58"/>
      <c r="F378" s="87"/>
      <c r="G378" s="58">
        <v>2475</v>
      </c>
    </row>
    <row r="379" spans="2:7" ht="12.75">
      <c r="B379" s="62" t="s">
        <v>338</v>
      </c>
      <c r="C379" s="97"/>
      <c r="D379" s="87"/>
      <c r="E379" s="58"/>
      <c r="F379" s="87"/>
      <c r="G379" s="58">
        <v>10189.5</v>
      </c>
    </row>
    <row r="380" spans="2:7" ht="12.75">
      <c r="B380" s="62" t="s">
        <v>175</v>
      </c>
      <c r="C380" s="97"/>
      <c r="D380" s="87"/>
      <c r="E380" s="58">
        <v>2539.5</v>
      </c>
      <c r="F380" s="87"/>
      <c r="G380" s="58">
        <v>503</v>
      </c>
    </row>
    <row r="381" spans="2:7" ht="12.75">
      <c r="B381" s="62" t="s">
        <v>332</v>
      </c>
      <c r="C381" s="97"/>
      <c r="D381" s="87"/>
      <c r="E381" s="58"/>
      <c r="F381" s="87"/>
      <c r="G381" s="58">
        <v>3900</v>
      </c>
    </row>
    <row r="382" spans="2:7" ht="12.75">
      <c r="B382" s="62" t="s">
        <v>29</v>
      </c>
      <c r="C382" s="97"/>
      <c r="D382" s="87"/>
      <c r="E382" s="58">
        <v>9963</v>
      </c>
      <c r="F382" s="87"/>
      <c r="G382" s="58"/>
    </row>
    <row r="383" spans="2:7" ht="12.75">
      <c r="B383" s="62" t="s">
        <v>168</v>
      </c>
      <c r="C383" s="97"/>
      <c r="D383" s="87"/>
      <c r="E383" s="58">
        <v>649</v>
      </c>
      <c r="F383" s="87"/>
      <c r="G383" s="58"/>
    </row>
    <row r="384" spans="2:7" ht="12.75">
      <c r="B384" s="62" t="s">
        <v>451</v>
      </c>
      <c r="C384" s="97"/>
      <c r="D384" s="87"/>
      <c r="E384" s="58">
        <v>210</v>
      </c>
      <c r="F384" s="87"/>
      <c r="G384" s="58"/>
    </row>
    <row r="385" spans="2:7" ht="12.75">
      <c r="B385" s="62" t="s">
        <v>346</v>
      </c>
      <c r="C385" s="97"/>
      <c r="D385" s="87"/>
      <c r="E385" s="58">
        <v>8250</v>
      </c>
      <c r="F385" s="87"/>
      <c r="G385" s="58"/>
    </row>
    <row r="386" spans="2:7" ht="12.75">
      <c r="B386" s="62" t="s">
        <v>469</v>
      </c>
      <c r="C386" s="97"/>
      <c r="D386" s="87"/>
      <c r="E386" s="58">
        <v>1130</v>
      </c>
      <c r="F386" s="87"/>
      <c r="G386" s="58"/>
    </row>
    <row r="387" spans="2:7" ht="12.75">
      <c r="B387" s="62" t="s">
        <v>470</v>
      </c>
      <c r="C387" s="97"/>
      <c r="D387" s="87"/>
      <c r="E387" s="58">
        <v>24000</v>
      </c>
      <c r="F387" s="87"/>
      <c r="G387" s="58"/>
    </row>
    <row r="388" spans="2:7" ht="12.75">
      <c r="B388" s="62" t="s">
        <v>179</v>
      </c>
      <c r="C388" s="97"/>
      <c r="D388" s="87"/>
      <c r="E388" s="58">
        <v>12837</v>
      </c>
      <c r="F388" s="87"/>
      <c r="G388" s="58"/>
    </row>
    <row r="389" spans="2:7" ht="12.75">
      <c r="B389" s="62" t="s">
        <v>167</v>
      </c>
      <c r="C389" s="97"/>
      <c r="D389" s="87"/>
      <c r="E389" s="58">
        <v>3700</v>
      </c>
      <c r="F389" s="87"/>
      <c r="G389" s="58"/>
    </row>
    <row r="390" spans="2:7" ht="12.75">
      <c r="B390" s="62" t="s">
        <v>72</v>
      </c>
      <c r="C390" s="97"/>
      <c r="D390" s="87"/>
      <c r="E390" s="58">
        <f>37125+79656+77851</f>
        <v>194632</v>
      </c>
      <c r="F390" s="87"/>
      <c r="G390" s="58">
        <v>225923</v>
      </c>
    </row>
    <row r="391" spans="2:8" ht="13.5" thickBot="1">
      <c r="B391" s="62"/>
      <c r="C391" s="97"/>
      <c r="D391" s="62"/>
      <c r="E391" s="164">
        <f>SUM(E363:E390)</f>
        <v>578528.5</v>
      </c>
      <c r="F391" s="97"/>
      <c r="G391" s="61">
        <f>SUM(G363:G390)</f>
        <v>445071.5</v>
      </c>
      <c r="H391" s="75"/>
    </row>
    <row r="392" spans="2:8" ht="13.5" thickTop="1">
      <c r="B392" s="62"/>
      <c r="C392" s="97"/>
      <c r="D392" s="87"/>
      <c r="E392" s="60"/>
      <c r="F392" s="87"/>
      <c r="G392" s="60"/>
      <c r="H392" s="75"/>
    </row>
    <row r="393" spans="2:8" ht="12.75">
      <c r="B393" s="44" t="s">
        <v>776</v>
      </c>
      <c r="C393" s="97"/>
      <c r="D393" s="87"/>
      <c r="E393" s="60"/>
      <c r="F393" s="87"/>
      <c r="G393" s="60"/>
      <c r="H393" s="75"/>
    </row>
    <row r="394" spans="2:8" ht="12.75">
      <c r="B394" s="62" t="s">
        <v>777</v>
      </c>
      <c r="C394" s="97"/>
      <c r="D394" s="58">
        <v>55416</v>
      </c>
      <c r="E394" s="60"/>
      <c r="F394" s="87"/>
      <c r="G394" s="60"/>
      <c r="H394" s="75"/>
    </row>
    <row r="395" spans="2:8" ht="12.75">
      <c r="B395" s="62" t="s">
        <v>778</v>
      </c>
      <c r="C395" s="97"/>
      <c r="D395" s="58">
        <v>11875</v>
      </c>
      <c r="E395" s="60"/>
      <c r="F395" s="87"/>
      <c r="G395" s="60"/>
      <c r="H395" s="75"/>
    </row>
    <row r="396" spans="2:8" ht="12.75">
      <c r="B396" s="62" t="s">
        <v>779</v>
      </c>
      <c r="C396" s="97"/>
      <c r="D396" s="58">
        <v>23486</v>
      </c>
      <c r="E396" s="60"/>
      <c r="F396" s="87"/>
      <c r="G396" s="60"/>
      <c r="H396" s="75"/>
    </row>
    <row r="397" spans="2:8" ht="12.75">
      <c r="B397" s="62" t="s">
        <v>780</v>
      </c>
      <c r="C397" s="97"/>
      <c r="D397" s="165">
        <v>15000</v>
      </c>
      <c r="E397" s="164">
        <f>SUM(D394:D397)</f>
        <v>105777</v>
      </c>
      <c r="F397" s="97"/>
      <c r="G397" s="60"/>
      <c r="H397" s="75"/>
    </row>
    <row r="398" spans="2:8" ht="13.5" thickBot="1">
      <c r="B398" s="62"/>
      <c r="C398" s="97"/>
      <c r="D398" s="87"/>
      <c r="E398" s="61">
        <f>E391+E397</f>
        <v>684305.5</v>
      </c>
      <c r="F398" s="87"/>
      <c r="G398" s="60"/>
      <c r="H398" s="75"/>
    </row>
    <row r="399" spans="2:8" ht="13.5" thickTop="1">
      <c r="B399" s="62"/>
      <c r="C399" s="97"/>
      <c r="D399" s="87"/>
      <c r="E399" s="60"/>
      <c r="F399" s="87"/>
      <c r="G399" s="60"/>
      <c r="H399" s="75"/>
    </row>
    <row r="400" spans="2:7" ht="12.75">
      <c r="B400" s="43" t="s">
        <v>201</v>
      </c>
      <c r="C400" s="97"/>
      <c r="D400" s="87"/>
      <c r="E400" s="87"/>
      <c r="F400" s="87"/>
      <c r="G400" s="87"/>
    </row>
    <row r="401" spans="2:7" ht="12.75">
      <c r="B401" s="43" t="s">
        <v>775</v>
      </c>
      <c r="C401" s="97"/>
      <c r="D401" s="87"/>
      <c r="E401" s="58"/>
      <c r="F401" s="87"/>
      <c r="G401" s="58"/>
    </row>
    <row r="402" spans="2:7" ht="12.75">
      <c r="B402" s="62" t="s">
        <v>164</v>
      </c>
      <c r="C402" s="97"/>
      <c r="D402" s="87"/>
      <c r="E402" s="58">
        <v>4596</v>
      </c>
      <c r="F402" s="58"/>
      <c r="G402" s="58">
        <v>16434</v>
      </c>
    </row>
    <row r="403" spans="2:7" ht="12.75">
      <c r="B403" s="62" t="s">
        <v>165</v>
      </c>
      <c r="C403" s="97"/>
      <c r="D403" s="87"/>
      <c r="E403" s="58">
        <v>6866</v>
      </c>
      <c r="F403" s="58"/>
      <c r="G403" s="58">
        <v>8855.5</v>
      </c>
    </row>
    <row r="404" spans="2:7" ht="12.75">
      <c r="B404" s="62" t="s">
        <v>159</v>
      </c>
      <c r="C404" s="97"/>
      <c r="D404" s="87"/>
      <c r="E404" s="58">
        <v>1400</v>
      </c>
      <c r="F404" s="58"/>
      <c r="G404" s="58">
        <v>3353</v>
      </c>
    </row>
    <row r="405" spans="2:7" ht="12.75">
      <c r="B405" s="62" t="s">
        <v>161</v>
      </c>
      <c r="C405" s="97"/>
      <c r="D405" s="58"/>
      <c r="E405" s="58">
        <v>62640</v>
      </c>
      <c r="F405" s="91"/>
      <c r="G405" s="58">
        <f>82110+750</f>
        <v>82860</v>
      </c>
    </row>
    <row r="406" spans="2:7" ht="12.75">
      <c r="B406" s="62" t="s">
        <v>68</v>
      </c>
      <c r="C406" s="97"/>
      <c r="D406" s="58"/>
      <c r="E406" s="59">
        <v>1587</v>
      </c>
      <c r="F406" s="100"/>
      <c r="G406" s="59">
        <v>2487.5</v>
      </c>
    </row>
    <row r="407" spans="2:7" ht="12.75">
      <c r="B407" s="62" t="s">
        <v>166</v>
      </c>
      <c r="C407" s="97"/>
      <c r="D407" s="87"/>
      <c r="E407" s="58">
        <v>3373</v>
      </c>
      <c r="F407" s="87"/>
      <c r="G407" s="58">
        <v>880</v>
      </c>
    </row>
    <row r="408" spans="2:7" ht="12.75">
      <c r="B408" s="62" t="s">
        <v>167</v>
      </c>
      <c r="C408" s="97"/>
      <c r="D408" s="87"/>
      <c r="E408" s="58"/>
      <c r="F408" s="87"/>
      <c r="G408" s="58">
        <v>14000</v>
      </c>
    </row>
    <row r="409" spans="2:7" ht="12.75">
      <c r="B409" s="62" t="s">
        <v>168</v>
      </c>
      <c r="C409" s="97"/>
      <c r="D409" s="87"/>
      <c r="E409" s="58"/>
      <c r="F409" s="87"/>
      <c r="G409" s="58"/>
    </row>
    <row r="410" spans="2:7" ht="12.75">
      <c r="B410" s="62" t="s">
        <v>30</v>
      </c>
      <c r="C410" s="97"/>
      <c r="D410" s="87"/>
      <c r="E410" s="58">
        <f>2444+55400</f>
        <v>57844</v>
      </c>
      <c r="F410" s="87"/>
      <c r="G410" s="58">
        <f>10473</f>
        <v>10473</v>
      </c>
    </row>
    <row r="411" spans="2:7" ht="12.75">
      <c r="B411" s="62" t="s">
        <v>169</v>
      </c>
      <c r="C411" s="97"/>
      <c r="D411" s="87"/>
      <c r="E411" s="58">
        <v>21400</v>
      </c>
      <c r="F411" s="87"/>
      <c r="G411" s="58">
        <v>43842</v>
      </c>
    </row>
    <row r="412" spans="2:7" ht="12.75">
      <c r="B412" s="62" t="s">
        <v>327</v>
      </c>
      <c r="C412" s="97"/>
      <c r="D412" s="87"/>
      <c r="E412" s="58"/>
      <c r="F412" s="87"/>
      <c r="G412" s="58">
        <v>150</v>
      </c>
    </row>
    <row r="413" spans="2:7" ht="12.75">
      <c r="B413" s="62" t="s">
        <v>328</v>
      </c>
      <c r="C413" s="97"/>
      <c r="D413" s="87"/>
      <c r="E413" s="58"/>
      <c r="F413" s="87"/>
      <c r="G413" s="58">
        <v>30</v>
      </c>
    </row>
    <row r="414" spans="2:7" ht="12.75">
      <c r="B414" s="62" t="s">
        <v>329</v>
      </c>
      <c r="C414" s="97"/>
      <c r="D414" s="87"/>
      <c r="E414" s="58">
        <v>1265</v>
      </c>
      <c r="F414" s="87"/>
      <c r="G414" s="58">
        <v>5709</v>
      </c>
    </row>
    <row r="415" spans="2:7" ht="12.75">
      <c r="B415" s="62" t="s">
        <v>330</v>
      </c>
      <c r="C415" s="97"/>
      <c r="D415" s="87"/>
      <c r="E415" s="58"/>
      <c r="F415" s="87"/>
      <c r="G415" s="58">
        <v>20</v>
      </c>
    </row>
    <row r="416" spans="2:7" ht="12.75">
      <c r="B416" s="62" t="s">
        <v>334</v>
      </c>
      <c r="C416" s="97"/>
      <c r="D416" s="87"/>
      <c r="E416" s="58">
        <v>26180</v>
      </c>
      <c r="F416" s="87"/>
      <c r="G416" s="58">
        <v>15132</v>
      </c>
    </row>
    <row r="417" spans="2:7" ht="12.75">
      <c r="B417" s="62" t="s">
        <v>158</v>
      </c>
      <c r="C417" s="97"/>
      <c r="D417" s="87"/>
      <c r="E417" s="58">
        <v>4282.5</v>
      </c>
      <c r="F417" s="87"/>
      <c r="G417" s="58">
        <v>3397</v>
      </c>
    </row>
    <row r="418" spans="2:7" ht="12.75">
      <c r="B418" s="62" t="s">
        <v>113</v>
      </c>
      <c r="C418" s="97"/>
      <c r="D418" s="87"/>
      <c r="E418" s="58"/>
      <c r="F418" s="87"/>
      <c r="G418" s="58">
        <v>210</v>
      </c>
    </row>
    <row r="419" spans="2:7" ht="12.75">
      <c r="B419" s="62" t="s">
        <v>333</v>
      </c>
      <c r="C419" s="97"/>
      <c r="D419" s="87"/>
      <c r="E419" s="58"/>
      <c r="F419" s="87"/>
      <c r="G419" s="58">
        <v>18000</v>
      </c>
    </row>
    <row r="420" spans="2:7" ht="12.75">
      <c r="B420" s="62" t="s">
        <v>471</v>
      </c>
      <c r="C420" s="97"/>
      <c r="D420" s="87"/>
      <c r="E420" s="58">
        <v>3600</v>
      </c>
      <c r="F420" s="87"/>
      <c r="G420" s="58">
        <f>16462-232.55</f>
        <v>16229.45</v>
      </c>
    </row>
    <row r="421" spans="2:7" ht="12.75">
      <c r="B421" s="62" t="s">
        <v>340</v>
      </c>
      <c r="C421" s="97"/>
      <c r="D421" s="87"/>
      <c r="E421" s="58"/>
      <c r="F421" s="87"/>
      <c r="G421" s="58">
        <v>640</v>
      </c>
    </row>
    <row r="422" spans="2:7" ht="12.75">
      <c r="B422" s="62" t="s">
        <v>175</v>
      </c>
      <c r="C422" s="97"/>
      <c r="D422" s="87"/>
      <c r="E422" s="58">
        <v>1243.5</v>
      </c>
      <c r="F422" s="87"/>
      <c r="G422" s="58">
        <v>401</v>
      </c>
    </row>
    <row r="423" spans="2:7" ht="12.75">
      <c r="B423" s="62" t="s">
        <v>341</v>
      </c>
      <c r="C423" s="97"/>
      <c r="D423" s="87"/>
      <c r="E423" s="58">
        <v>2255</v>
      </c>
      <c r="F423" s="87"/>
      <c r="G423" s="58">
        <v>3055</v>
      </c>
    </row>
    <row r="424" spans="2:7" ht="12.75">
      <c r="B424" s="62" t="s">
        <v>342</v>
      </c>
      <c r="C424" s="97"/>
      <c r="D424" s="87"/>
      <c r="E424" s="58"/>
      <c r="F424" s="87"/>
      <c r="G424" s="58">
        <v>679</v>
      </c>
    </row>
    <row r="425" spans="2:7" ht="12.75">
      <c r="B425" s="62" t="s">
        <v>180</v>
      </c>
      <c r="C425" s="97"/>
      <c r="D425" s="87"/>
      <c r="E425" s="58">
        <v>122</v>
      </c>
      <c r="F425" s="87"/>
      <c r="G425" s="58">
        <v>301</v>
      </c>
    </row>
    <row r="426" spans="2:7" ht="12.75">
      <c r="B426" s="62" t="s">
        <v>339</v>
      </c>
      <c r="C426" s="97"/>
      <c r="D426" s="87"/>
      <c r="E426" s="58">
        <v>10041</v>
      </c>
      <c r="F426" s="87"/>
      <c r="G426" s="58">
        <v>1638</v>
      </c>
    </row>
    <row r="427" spans="2:7" ht="12.75">
      <c r="B427" s="62" t="s">
        <v>343</v>
      </c>
      <c r="C427" s="97"/>
      <c r="D427" s="87"/>
      <c r="E427" s="58"/>
      <c r="F427" s="87"/>
      <c r="G427" s="58">
        <v>13</v>
      </c>
    </row>
    <row r="428" spans="2:7" ht="12.75">
      <c r="B428" s="62" t="s">
        <v>469</v>
      </c>
      <c r="C428" s="97"/>
      <c r="D428" s="87"/>
      <c r="E428" s="58">
        <v>891</v>
      </c>
      <c r="F428" s="87"/>
      <c r="G428" s="58"/>
    </row>
    <row r="429" spans="2:7" ht="12.75">
      <c r="B429" s="62" t="s">
        <v>472</v>
      </c>
      <c r="C429" s="97"/>
      <c r="D429" s="87"/>
      <c r="E429" s="58"/>
      <c r="F429" s="87"/>
      <c r="G429" s="58"/>
    </row>
    <row r="430" spans="2:7" ht="12.75">
      <c r="B430" s="62" t="s">
        <v>29</v>
      </c>
      <c r="C430" s="97"/>
      <c r="D430" s="87"/>
      <c r="E430" s="58">
        <v>258</v>
      </c>
      <c r="F430" s="87"/>
      <c r="G430" s="58"/>
    </row>
    <row r="431" spans="2:7" ht="12.75">
      <c r="B431" s="62" t="s">
        <v>473</v>
      </c>
      <c r="C431" s="97"/>
      <c r="D431" s="87"/>
      <c r="E431" s="58"/>
      <c r="F431" s="87"/>
      <c r="G431" s="58"/>
    </row>
    <row r="432" spans="2:7" ht="12.75">
      <c r="B432" s="62" t="s">
        <v>475</v>
      </c>
      <c r="C432" s="97"/>
      <c r="D432" s="87"/>
      <c r="E432" s="58">
        <v>5283</v>
      </c>
      <c r="F432" s="87"/>
      <c r="G432" s="58"/>
    </row>
    <row r="433" spans="2:7" ht="12.75">
      <c r="B433" s="62" t="s">
        <v>474</v>
      </c>
      <c r="C433" s="97"/>
      <c r="D433" s="87"/>
      <c r="E433" s="58">
        <v>6250</v>
      </c>
      <c r="F433" s="87"/>
      <c r="G433" s="58"/>
    </row>
    <row r="434" spans="2:7" ht="12.75">
      <c r="B434" s="62" t="s">
        <v>72</v>
      </c>
      <c r="C434" s="97"/>
      <c r="D434" s="87"/>
      <c r="E434" s="58">
        <f>79656+57900+35175</f>
        <v>172731</v>
      </c>
      <c r="F434" s="87"/>
      <c r="G434" s="58"/>
    </row>
    <row r="435" spans="2:7" ht="12.75">
      <c r="B435" s="62" t="s">
        <v>344</v>
      </c>
      <c r="C435" s="97"/>
      <c r="D435" s="87"/>
      <c r="E435" s="58"/>
      <c r="F435" s="87"/>
      <c r="G435" s="58">
        <v>40000</v>
      </c>
    </row>
    <row r="436" spans="2:8" ht="13.5" thickBot="1">
      <c r="B436" s="62"/>
      <c r="C436" s="97"/>
      <c r="D436" s="87"/>
      <c r="E436" s="61">
        <f>SUM(E402:E435)</f>
        <v>394108</v>
      </c>
      <c r="F436" s="101"/>
      <c r="G436" s="61">
        <f>SUM(G402:G435)</f>
        <v>288789.45</v>
      </c>
      <c r="H436" s="75"/>
    </row>
    <row r="437" spans="2:7" ht="13.5" thickTop="1">
      <c r="B437" s="62"/>
      <c r="C437" s="97"/>
      <c r="D437" s="87"/>
      <c r="E437" s="60"/>
      <c r="F437" s="87"/>
      <c r="G437" s="60"/>
    </row>
    <row r="438" spans="2:7" ht="12.75">
      <c r="B438" s="62"/>
      <c r="C438" s="97"/>
      <c r="D438" s="87"/>
      <c r="E438" s="60"/>
      <c r="F438" s="87"/>
      <c r="G438" s="60"/>
    </row>
    <row r="439" spans="2:7" ht="12.75">
      <c r="B439" s="62"/>
      <c r="C439" s="97"/>
      <c r="D439" s="87"/>
      <c r="E439" s="60"/>
      <c r="F439" s="87"/>
      <c r="G439" s="60"/>
    </row>
    <row r="440" spans="2:7" ht="12.75">
      <c r="B440" s="62"/>
      <c r="C440" s="97"/>
      <c r="D440" s="87"/>
      <c r="E440" s="60"/>
      <c r="F440" s="87"/>
      <c r="G440" s="60"/>
    </row>
    <row r="441" spans="2:7" ht="12.75">
      <c r="B441" s="62"/>
      <c r="C441" s="97"/>
      <c r="D441" s="87"/>
      <c r="E441" s="60"/>
      <c r="F441" s="87"/>
      <c r="G441" s="60"/>
    </row>
    <row r="442" spans="1:7" ht="12.75">
      <c r="A442" s="97"/>
      <c r="B442" s="43" t="s">
        <v>298</v>
      </c>
      <c r="C442" s="97"/>
      <c r="D442" s="87"/>
      <c r="E442" s="87"/>
      <c r="F442" s="87"/>
      <c r="G442" s="87"/>
    </row>
    <row r="443" spans="1:7" ht="12.75">
      <c r="A443" s="97"/>
      <c r="B443" s="72" t="s">
        <v>670</v>
      </c>
      <c r="C443" s="97"/>
      <c r="D443" s="87"/>
      <c r="E443" s="87"/>
      <c r="F443" s="87"/>
      <c r="G443" s="87"/>
    </row>
    <row r="444" spans="1:7" ht="12.75">
      <c r="A444" s="97"/>
      <c r="B444" s="95" t="s">
        <v>299</v>
      </c>
      <c r="C444" s="97"/>
      <c r="D444" s="87"/>
      <c r="E444" s="99"/>
      <c r="F444" s="87"/>
      <c r="G444" s="99">
        <v>66500</v>
      </c>
    </row>
    <row r="445" spans="1:7" ht="12.75">
      <c r="A445" s="97"/>
      <c r="B445" s="95" t="s">
        <v>300</v>
      </c>
      <c r="C445" s="97"/>
      <c r="D445" s="87"/>
      <c r="E445" s="99"/>
      <c r="F445" s="87"/>
      <c r="G445" s="99">
        <v>1600</v>
      </c>
    </row>
    <row r="446" spans="1:7" ht="12.75">
      <c r="A446" s="97"/>
      <c r="B446" s="62"/>
      <c r="C446" s="97"/>
      <c r="D446" s="87"/>
      <c r="E446" s="87"/>
      <c r="F446" s="87"/>
      <c r="G446" s="87"/>
    </row>
    <row r="447" spans="1:7" ht="13.5" thickBot="1">
      <c r="A447" s="97"/>
      <c r="B447" s="62"/>
      <c r="C447" s="97"/>
      <c r="D447" s="87"/>
      <c r="E447" s="61">
        <f>SUM(E444:E446)</f>
        <v>0</v>
      </c>
      <c r="F447" s="87"/>
      <c r="G447" s="140">
        <f>SUM(G444:G446)</f>
        <v>68100</v>
      </c>
    </row>
    <row r="448" spans="1:7" ht="13.5" thickTop="1">
      <c r="A448" s="97"/>
      <c r="B448" s="62"/>
      <c r="C448" s="97"/>
      <c r="D448" s="87"/>
      <c r="E448" s="87"/>
      <c r="F448" s="87"/>
      <c r="G448" s="87"/>
    </row>
    <row r="449" spans="1:7" ht="12.75">
      <c r="A449" s="97"/>
      <c r="B449" s="43" t="s">
        <v>307</v>
      </c>
      <c r="C449" s="97"/>
      <c r="D449" s="87"/>
      <c r="E449" s="87"/>
      <c r="F449" s="87"/>
      <c r="G449" s="87"/>
    </row>
    <row r="450" spans="1:7" ht="12.75">
      <c r="A450" s="97"/>
      <c r="B450" s="43" t="s">
        <v>671</v>
      </c>
      <c r="C450" s="97"/>
      <c r="D450" s="87"/>
      <c r="E450" s="87"/>
      <c r="F450" s="87"/>
      <c r="G450" s="87"/>
    </row>
    <row r="451" spans="1:7" ht="13.5" thickBot="1">
      <c r="A451" s="97"/>
      <c r="B451" s="62" t="s">
        <v>158</v>
      </c>
      <c r="C451" s="97"/>
      <c r="D451" s="87"/>
      <c r="E451" s="61">
        <v>0</v>
      </c>
      <c r="F451" s="87"/>
      <c r="G451" s="61">
        <v>30000</v>
      </c>
    </row>
    <row r="452" spans="1:7" ht="13.5" thickTop="1">
      <c r="A452" s="97"/>
      <c r="B452" s="62"/>
      <c r="C452" s="97"/>
      <c r="D452" s="87"/>
      <c r="E452" s="87"/>
      <c r="F452" s="87"/>
      <c r="G452" s="87"/>
    </row>
    <row r="453" spans="1:7" ht="12.75">
      <c r="A453" s="97"/>
      <c r="B453" s="43" t="s">
        <v>357</v>
      </c>
      <c r="C453" s="97"/>
      <c r="D453" s="87"/>
      <c r="E453" s="87"/>
      <c r="F453" s="87"/>
      <c r="G453" s="87"/>
    </row>
    <row r="454" spans="1:7" ht="12.75">
      <c r="A454" s="97"/>
      <c r="B454" s="43" t="s">
        <v>400</v>
      </c>
      <c r="C454" s="97"/>
      <c r="D454" s="87"/>
      <c r="E454" s="87"/>
      <c r="F454" s="87"/>
      <c r="G454" s="87"/>
    </row>
    <row r="455" spans="1:7" ht="12.75">
      <c r="A455" s="97"/>
      <c r="B455" s="62" t="s">
        <v>359</v>
      </c>
      <c r="C455" s="97"/>
      <c r="D455" s="87"/>
      <c r="E455" s="58"/>
      <c r="F455" s="87"/>
      <c r="G455" s="58">
        <v>149472</v>
      </c>
    </row>
    <row r="456" spans="1:7" ht="12.75">
      <c r="A456" s="97"/>
      <c r="B456" s="62" t="s">
        <v>360</v>
      </c>
      <c r="C456" s="97"/>
      <c r="D456" s="87"/>
      <c r="E456" s="58"/>
      <c r="F456" s="87"/>
      <c r="G456" s="58">
        <v>688050</v>
      </c>
    </row>
    <row r="457" spans="1:7" ht="13.5" thickBot="1">
      <c r="A457" s="97"/>
      <c r="B457" s="62"/>
      <c r="C457" s="97"/>
      <c r="D457" s="87"/>
      <c r="E457" s="61">
        <f>E455+E456</f>
        <v>0</v>
      </c>
      <c r="F457" s="87"/>
      <c r="G457" s="61">
        <f>SUM(G455:G456)</f>
        <v>837522</v>
      </c>
    </row>
    <row r="458" spans="1:7" ht="13.5" thickTop="1">
      <c r="A458" s="97"/>
      <c r="B458" s="62"/>
      <c r="C458" s="97"/>
      <c r="D458" s="87"/>
      <c r="E458" s="118"/>
      <c r="F458" s="87"/>
      <c r="G458" s="141"/>
    </row>
    <row r="459" spans="1:9" ht="12.75">
      <c r="A459" s="131"/>
      <c r="B459" s="62"/>
      <c r="C459" s="97"/>
      <c r="D459" s="87"/>
      <c r="E459" s="87"/>
      <c r="F459" s="87"/>
      <c r="G459" s="97"/>
      <c r="I459" s="27"/>
    </row>
    <row r="460" spans="1:7" ht="12.75">
      <c r="A460" s="131"/>
      <c r="B460" s="62"/>
      <c r="C460" s="97"/>
      <c r="D460" s="87"/>
      <c r="E460" s="87"/>
      <c r="F460" s="87"/>
      <c r="G460" s="87"/>
    </row>
    <row r="461" spans="1:7" ht="12.75">
      <c r="A461" s="131"/>
      <c r="B461" s="43" t="s">
        <v>401</v>
      </c>
      <c r="C461" s="97"/>
      <c r="D461" s="87"/>
      <c r="E461" s="87"/>
      <c r="F461" s="87"/>
      <c r="G461" s="87"/>
    </row>
    <row r="462" spans="1:7" ht="12.75">
      <c r="A462" s="131"/>
      <c r="B462" s="43" t="s">
        <v>361</v>
      </c>
      <c r="C462" s="97"/>
      <c r="D462" s="87"/>
      <c r="E462" s="87"/>
      <c r="F462" s="87"/>
      <c r="G462" s="87"/>
    </row>
    <row r="463" spans="1:7" ht="12.75">
      <c r="A463" s="131"/>
      <c r="B463" s="62" t="s">
        <v>363</v>
      </c>
      <c r="C463" s="97"/>
      <c r="D463" s="87"/>
      <c r="E463" s="58"/>
      <c r="F463" s="87"/>
      <c r="G463" s="58">
        <v>48317</v>
      </c>
    </row>
    <row r="464" spans="1:7" ht="12.75">
      <c r="A464" s="131"/>
      <c r="B464" s="62" t="s">
        <v>364</v>
      </c>
      <c r="C464" s="97"/>
      <c r="D464" s="87"/>
      <c r="E464" s="58"/>
      <c r="F464" s="87"/>
      <c r="G464" s="58">
        <v>240908.6</v>
      </c>
    </row>
    <row r="465" spans="1:7" ht="12.75">
      <c r="A465" s="131"/>
      <c r="B465" s="62" t="s">
        <v>365</v>
      </c>
      <c r="C465" s="97"/>
      <c r="D465" s="87"/>
      <c r="E465" s="58"/>
      <c r="F465" s="87"/>
      <c r="G465" s="58">
        <v>1400</v>
      </c>
    </row>
    <row r="466" spans="1:7" ht="12.75">
      <c r="A466" s="131"/>
      <c r="B466" s="62" t="s">
        <v>366</v>
      </c>
      <c r="C466" s="97"/>
      <c r="D466" s="87"/>
      <c r="E466" s="58"/>
      <c r="F466" s="87"/>
      <c r="G466" s="58">
        <v>157525</v>
      </c>
    </row>
    <row r="467" spans="1:7" ht="12.75">
      <c r="A467" s="131"/>
      <c r="B467" s="62" t="s">
        <v>367</v>
      </c>
      <c r="C467" s="97"/>
      <c r="D467" s="87"/>
      <c r="E467" s="58"/>
      <c r="F467" s="87"/>
      <c r="G467" s="58">
        <v>362546.3</v>
      </c>
    </row>
    <row r="468" spans="1:7" ht="12.75">
      <c r="A468" s="131"/>
      <c r="B468" s="62" t="s">
        <v>368</v>
      </c>
      <c r="C468" s="97"/>
      <c r="D468" s="87"/>
      <c r="E468" s="58"/>
      <c r="F468" s="87"/>
      <c r="G468" s="58">
        <v>688000</v>
      </c>
    </row>
    <row r="469" spans="1:7" ht="12.75">
      <c r="A469" s="131"/>
      <c r="B469" s="62" t="s">
        <v>395</v>
      </c>
      <c r="C469" s="97"/>
      <c r="D469" s="87"/>
      <c r="E469" s="58"/>
      <c r="F469" s="87"/>
      <c r="G469" s="58">
        <v>12590.75</v>
      </c>
    </row>
    <row r="470" spans="1:7" ht="12.75">
      <c r="A470" s="131"/>
      <c r="B470" s="62" t="s">
        <v>387</v>
      </c>
      <c r="C470" s="97"/>
      <c r="D470" s="87"/>
      <c r="E470" s="58"/>
      <c r="F470" s="87"/>
      <c r="G470" s="58">
        <v>101688</v>
      </c>
    </row>
    <row r="471" spans="1:7" ht="13.5" thickBot="1">
      <c r="A471" s="131"/>
      <c r="B471" s="62"/>
      <c r="C471" s="97"/>
      <c r="D471" s="87"/>
      <c r="E471" s="61">
        <f>SUM(E463:E470)</f>
        <v>0</v>
      </c>
      <c r="F471" s="87"/>
      <c r="G471" s="61">
        <f>SUM(G463:G470)</f>
        <v>1612975.65</v>
      </c>
    </row>
    <row r="472" spans="1:7" ht="13.5" thickTop="1">
      <c r="A472" s="131"/>
      <c r="B472" s="62"/>
      <c r="C472" s="97"/>
      <c r="D472" s="87"/>
      <c r="E472" s="87"/>
      <c r="F472" s="87"/>
      <c r="G472" s="87"/>
    </row>
    <row r="473" spans="1:7" ht="12.75">
      <c r="A473" s="131"/>
      <c r="B473" s="43" t="s">
        <v>371</v>
      </c>
      <c r="C473" s="97"/>
      <c r="D473" s="87"/>
      <c r="E473" s="87"/>
      <c r="F473" s="87"/>
      <c r="G473" s="87"/>
    </row>
    <row r="474" spans="1:7" ht="12.75">
      <c r="A474" s="131"/>
      <c r="B474" s="43" t="s">
        <v>350</v>
      </c>
      <c r="C474" s="97"/>
      <c r="D474" s="87"/>
      <c r="E474" s="87"/>
      <c r="F474" s="87"/>
      <c r="G474" s="87"/>
    </row>
    <row r="475" spans="1:7" ht="12.75">
      <c r="A475" s="131"/>
      <c r="B475" s="62" t="s">
        <v>372</v>
      </c>
      <c r="C475" s="97"/>
      <c r="D475" s="87"/>
      <c r="E475" s="58"/>
      <c r="F475" s="87"/>
      <c r="G475" s="58">
        <v>12000</v>
      </c>
    </row>
    <row r="476" spans="1:7" ht="12.75">
      <c r="A476" s="131"/>
      <c r="B476" s="62" t="s">
        <v>373</v>
      </c>
      <c r="C476" s="97"/>
      <c r="D476" s="87"/>
      <c r="E476" s="58"/>
      <c r="F476" s="87"/>
      <c r="G476" s="58">
        <v>20000</v>
      </c>
    </row>
    <row r="477" spans="1:7" ht="12.75">
      <c r="A477" s="131"/>
      <c r="B477" s="62" t="s">
        <v>374</v>
      </c>
      <c r="C477" s="97"/>
      <c r="D477" s="87"/>
      <c r="E477" s="58"/>
      <c r="F477" s="87"/>
      <c r="G477" s="58">
        <v>66150</v>
      </c>
    </row>
    <row r="478" spans="1:7" ht="12.75">
      <c r="A478" s="131"/>
      <c r="B478" s="62" t="s">
        <v>388</v>
      </c>
      <c r="C478" s="97"/>
      <c r="D478" s="87"/>
      <c r="E478" s="58"/>
      <c r="F478" s="87"/>
      <c r="G478" s="58">
        <v>100000</v>
      </c>
    </row>
    <row r="479" spans="1:7" ht="13.5" thickBot="1">
      <c r="A479" s="131"/>
      <c r="B479" s="62"/>
      <c r="C479" s="97"/>
      <c r="D479" s="87"/>
      <c r="E479" s="61">
        <f>SUM(E475:E478)</f>
        <v>0</v>
      </c>
      <c r="F479" s="87"/>
      <c r="G479" s="61">
        <f>SUM(G475:G478)</f>
        <v>198150</v>
      </c>
    </row>
    <row r="480" spans="1:7" ht="13.5" thickTop="1">
      <c r="A480" s="131"/>
      <c r="B480" s="62"/>
      <c r="C480" s="97"/>
      <c r="D480" s="87"/>
      <c r="E480" s="87"/>
      <c r="F480" s="87"/>
      <c r="G480" s="87"/>
    </row>
    <row r="481" spans="1:7" ht="12.75">
      <c r="A481" s="131"/>
      <c r="B481" s="62"/>
      <c r="C481" s="97"/>
      <c r="D481" s="87"/>
      <c r="E481" s="87"/>
      <c r="F481" s="87"/>
      <c r="G481" s="87"/>
    </row>
    <row r="482" spans="1:7" ht="12.75">
      <c r="A482" s="131"/>
      <c r="B482" s="43" t="s">
        <v>376</v>
      </c>
      <c r="C482" s="97"/>
      <c r="D482" s="87"/>
      <c r="E482" s="87"/>
      <c r="F482" s="87"/>
      <c r="G482" s="87"/>
    </row>
    <row r="483" spans="1:7" ht="12.75">
      <c r="A483" s="131"/>
      <c r="B483" s="43" t="s">
        <v>377</v>
      </c>
      <c r="C483" s="97"/>
      <c r="D483" s="87"/>
      <c r="E483" s="87"/>
      <c r="F483" s="87"/>
      <c r="G483" s="87"/>
    </row>
    <row r="484" spans="1:7" ht="12.75">
      <c r="A484" s="131"/>
      <c r="B484" s="62" t="s">
        <v>363</v>
      </c>
      <c r="C484" s="97"/>
      <c r="D484" s="87"/>
      <c r="E484" s="58"/>
      <c r="F484" s="87"/>
      <c r="G484" s="58">
        <v>48317</v>
      </c>
    </row>
    <row r="485" spans="1:7" ht="12.75">
      <c r="A485" s="131"/>
      <c r="B485" s="62" t="s">
        <v>364</v>
      </c>
      <c r="C485" s="97"/>
      <c r="D485" s="87"/>
      <c r="E485" s="58"/>
      <c r="F485" s="87"/>
      <c r="G485" s="58">
        <v>240908.6</v>
      </c>
    </row>
    <row r="486" spans="2:7" ht="12.75">
      <c r="B486" s="62" t="s">
        <v>365</v>
      </c>
      <c r="C486" s="97"/>
      <c r="D486" s="87"/>
      <c r="E486" s="58"/>
      <c r="F486" s="87"/>
      <c r="G486" s="58">
        <v>1400</v>
      </c>
    </row>
    <row r="487" spans="2:7" ht="12.75">
      <c r="B487" s="62" t="s">
        <v>366</v>
      </c>
      <c r="C487" s="97"/>
      <c r="D487" s="87"/>
      <c r="E487" s="58"/>
      <c r="F487" s="87"/>
      <c r="G487" s="58">
        <v>157525</v>
      </c>
    </row>
    <row r="488" spans="2:7" ht="12.75">
      <c r="B488" s="62" t="s">
        <v>367</v>
      </c>
      <c r="C488" s="97"/>
      <c r="D488" s="87"/>
      <c r="E488" s="58"/>
      <c r="F488" s="87"/>
      <c r="G488" s="58">
        <v>362546.3</v>
      </c>
    </row>
    <row r="489" spans="2:7" ht="12.75">
      <c r="B489" s="62" t="s">
        <v>368</v>
      </c>
      <c r="C489" s="97"/>
      <c r="D489" s="87"/>
      <c r="E489" s="58"/>
      <c r="F489" s="87"/>
      <c r="G489" s="58">
        <v>688000</v>
      </c>
    </row>
    <row r="490" spans="2:7" ht="12.75">
      <c r="B490" s="62" t="s">
        <v>394</v>
      </c>
      <c r="C490" s="97"/>
      <c r="D490" s="87"/>
      <c r="E490" s="58"/>
      <c r="F490" s="87"/>
      <c r="G490" s="58">
        <v>12590.75</v>
      </c>
    </row>
    <row r="491" spans="2:7" ht="12.75">
      <c r="B491" s="62" t="s">
        <v>387</v>
      </c>
      <c r="C491" s="97"/>
      <c r="D491" s="87"/>
      <c r="E491" s="58"/>
      <c r="F491" s="87"/>
      <c r="G491" s="58">
        <v>101688</v>
      </c>
    </row>
    <row r="492" spans="2:7" ht="13.5" thickBot="1">
      <c r="B492" s="62"/>
      <c r="C492" s="97"/>
      <c r="D492" s="87"/>
      <c r="E492" s="61">
        <f>SUM(E484:E491)</f>
        <v>0</v>
      </c>
      <c r="F492" s="87"/>
      <c r="G492" s="61">
        <f>SUM(G484:G491)</f>
        <v>1612975.65</v>
      </c>
    </row>
    <row r="493" spans="2:7" ht="13.5" thickTop="1">
      <c r="B493" s="62"/>
      <c r="C493" s="97"/>
      <c r="D493" s="87"/>
      <c r="E493" s="87"/>
      <c r="F493" s="87"/>
      <c r="G493" s="87"/>
    </row>
    <row r="494" spans="2:7" ht="12.75">
      <c r="B494" s="62"/>
      <c r="C494" s="97"/>
      <c r="D494" s="87"/>
      <c r="E494" s="87"/>
      <c r="F494" s="87"/>
      <c r="G494" s="87"/>
    </row>
    <row r="495" spans="2:7" ht="12.75">
      <c r="B495" s="62"/>
      <c r="C495" s="97"/>
      <c r="D495" s="87"/>
      <c r="E495" s="87"/>
      <c r="F495" s="87"/>
      <c r="G495" s="87"/>
    </row>
    <row r="496" spans="2:7" ht="12.75">
      <c r="B496" s="62"/>
      <c r="C496" s="97"/>
      <c r="D496" s="87"/>
      <c r="E496" s="87"/>
      <c r="F496" s="87"/>
      <c r="G496" s="87"/>
    </row>
    <row r="497" spans="2:7" ht="12.75">
      <c r="B497" s="111" t="s">
        <v>380</v>
      </c>
      <c r="C497" s="97"/>
      <c r="D497" s="87"/>
      <c r="E497" s="87"/>
      <c r="F497" s="87"/>
      <c r="G497" s="87"/>
    </row>
    <row r="498" spans="2:7" ht="12.75">
      <c r="B498" s="43" t="s">
        <v>381</v>
      </c>
      <c r="C498" s="94"/>
      <c r="D498" s="87"/>
      <c r="E498" s="87"/>
      <c r="F498" s="87"/>
      <c r="G498" s="87"/>
    </row>
    <row r="499" spans="2:7" ht="12.75">
      <c r="B499" s="62" t="s">
        <v>205</v>
      </c>
      <c r="C499" s="97"/>
      <c r="D499" s="87"/>
      <c r="E499" s="58"/>
      <c r="F499" s="87"/>
      <c r="G499" s="58">
        <v>7000.2</v>
      </c>
    </row>
    <row r="500" spans="2:7" ht="12.75">
      <c r="B500" s="95" t="s">
        <v>206</v>
      </c>
      <c r="C500" s="97"/>
      <c r="D500" s="87"/>
      <c r="E500" s="58"/>
      <c r="F500" s="87"/>
      <c r="G500" s="58">
        <v>1</v>
      </c>
    </row>
    <row r="501" spans="2:7" ht="12.75">
      <c r="B501" s="95" t="s">
        <v>207</v>
      </c>
      <c r="C501" s="97"/>
      <c r="D501" s="87"/>
      <c r="E501" s="58"/>
      <c r="F501" s="87"/>
      <c r="G501" s="58">
        <v>425</v>
      </c>
    </row>
    <row r="502" spans="2:7" ht="12.75">
      <c r="B502" s="95" t="s">
        <v>382</v>
      </c>
      <c r="C502" s="97"/>
      <c r="D502" s="87"/>
      <c r="E502" s="58"/>
      <c r="F502" s="87"/>
      <c r="G502" s="58">
        <v>0.25</v>
      </c>
    </row>
    <row r="503" spans="2:7" ht="12.75">
      <c r="B503" s="95" t="s">
        <v>383</v>
      </c>
      <c r="C503" s="97"/>
      <c r="D503" s="87"/>
      <c r="E503" s="58"/>
      <c r="F503" s="87"/>
      <c r="G503" s="58">
        <v>67563</v>
      </c>
    </row>
    <row r="504" spans="2:7" ht="12.75">
      <c r="B504" s="95" t="s">
        <v>210</v>
      </c>
      <c r="C504" s="97"/>
      <c r="D504" s="87"/>
      <c r="E504" s="58"/>
      <c r="F504" s="87"/>
      <c r="G504" s="58">
        <v>3494</v>
      </c>
    </row>
    <row r="505" spans="2:7" ht="13.5" thickBot="1">
      <c r="B505" s="62"/>
      <c r="C505" s="97"/>
      <c r="D505" s="87"/>
      <c r="E505" s="61">
        <f>SUM(E499:E504)</f>
        <v>0</v>
      </c>
      <c r="F505" s="87"/>
      <c r="G505" s="142">
        <f>SUM(G499:G504)</f>
        <v>78483.45</v>
      </c>
    </row>
    <row r="506" spans="1:7" ht="13.5" thickTop="1">
      <c r="A506" s="97"/>
      <c r="B506" s="131"/>
      <c r="C506" s="97"/>
      <c r="D506" s="97"/>
      <c r="E506" s="109"/>
      <c r="F506" s="97"/>
      <c r="G506" s="97"/>
    </row>
    <row r="507" spans="1:7" ht="12.75">
      <c r="A507" s="97"/>
      <c r="B507" s="131"/>
      <c r="C507" s="97"/>
      <c r="D507" s="97"/>
      <c r="E507" s="109"/>
      <c r="F507" s="97"/>
      <c r="G507" s="97"/>
    </row>
    <row r="508" spans="2:7" ht="12.75">
      <c r="B508" s="111" t="s">
        <v>491</v>
      </c>
      <c r="C508" s="97"/>
      <c r="D508" s="87"/>
      <c r="E508" s="87"/>
      <c r="F508" s="87"/>
      <c r="G508" s="87"/>
    </row>
    <row r="509" spans="2:7" ht="12.75">
      <c r="B509" s="43" t="s">
        <v>492</v>
      </c>
      <c r="C509" s="94"/>
      <c r="D509" s="87"/>
      <c r="E509" s="87"/>
      <c r="F509" s="87"/>
      <c r="G509" s="87"/>
    </row>
    <row r="510" spans="1:7" ht="12.75">
      <c r="A510" s="97"/>
      <c r="B510" s="36" t="s">
        <v>632</v>
      </c>
      <c r="C510" s="94"/>
      <c r="D510" s="97"/>
      <c r="E510" s="97"/>
      <c r="F510" s="97"/>
      <c r="G510" s="97"/>
    </row>
    <row r="511" spans="1:7" ht="12.75">
      <c r="A511" s="97"/>
      <c r="B511" s="131" t="s">
        <v>493</v>
      </c>
      <c r="C511" s="97"/>
      <c r="D511" s="97"/>
      <c r="E511" s="109">
        <v>2720</v>
      </c>
      <c r="F511" s="97"/>
      <c r="G511" s="97"/>
    </row>
    <row r="512" spans="1:7" ht="12.75">
      <c r="A512" s="97"/>
      <c r="B512" s="267" t="s">
        <v>765</v>
      </c>
      <c r="C512" s="268"/>
      <c r="D512" s="97"/>
      <c r="E512" s="109">
        <v>8087</v>
      </c>
      <c r="F512" s="97"/>
      <c r="G512" s="97"/>
    </row>
    <row r="513" spans="1:7" ht="12.75">
      <c r="A513" s="97"/>
      <c r="B513" s="147" t="s">
        <v>766</v>
      </c>
      <c r="C513" s="146"/>
      <c r="D513" s="97"/>
      <c r="E513" s="109">
        <v>7247</v>
      </c>
      <c r="F513" s="97"/>
      <c r="G513" s="97"/>
    </row>
    <row r="514" spans="1:7" ht="12.75">
      <c r="A514" s="97"/>
      <c r="B514" s="147" t="s">
        <v>767</v>
      </c>
      <c r="C514" s="146"/>
      <c r="D514" s="97"/>
      <c r="E514" s="109">
        <v>150000</v>
      </c>
      <c r="F514" s="97"/>
      <c r="G514" s="97"/>
    </row>
    <row r="515" spans="1:7" ht="13.5" thickBot="1">
      <c r="A515" s="97"/>
      <c r="B515" s="147"/>
      <c r="C515" s="146"/>
      <c r="D515" s="97"/>
      <c r="E515" s="142">
        <f>SUM(E511:E514)</f>
        <v>168054</v>
      </c>
      <c r="F515" s="97"/>
      <c r="G515" s="97"/>
    </row>
    <row r="516" spans="1:7" ht="13.5" thickTop="1">
      <c r="A516" s="97"/>
      <c r="B516" s="148" t="s">
        <v>497</v>
      </c>
      <c r="C516" s="146"/>
      <c r="D516" s="97"/>
      <c r="E516" s="109"/>
      <c r="F516" s="97"/>
      <c r="G516" s="97"/>
    </row>
    <row r="517" spans="1:7" ht="12.75">
      <c r="A517" s="97"/>
      <c r="B517" s="36" t="s">
        <v>464</v>
      </c>
      <c r="C517" s="97"/>
      <c r="D517" s="97"/>
      <c r="E517" s="109"/>
      <c r="F517" s="97"/>
      <c r="G517" s="97"/>
    </row>
    <row r="518" spans="1:7" ht="12.75">
      <c r="A518" s="97"/>
      <c r="B518" s="65" t="s">
        <v>494</v>
      </c>
      <c r="C518" s="97"/>
      <c r="D518" s="97"/>
      <c r="E518" s="109">
        <v>1057</v>
      </c>
      <c r="F518" s="97"/>
      <c r="G518" s="97"/>
    </row>
    <row r="519" spans="1:7" ht="12.75">
      <c r="A519" s="97"/>
      <c r="B519" s="65" t="s">
        <v>495</v>
      </c>
      <c r="C519" s="97"/>
      <c r="D519" s="97"/>
      <c r="E519" s="109">
        <v>24333</v>
      </c>
      <c r="F519" s="97"/>
      <c r="G519" s="97"/>
    </row>
    <row r="520" spans="1:7" ht="12.75">
      <c r="A520" s="97"/>
      <c r="B520" s="65" t="s">
        <v>774</v>
      </c>
      <c r="C520" s="97"/>
      <c r="D520" s="97"/>
      <c r="E520" s="109">
        <v>300</v>
      </c>
      <c r="F520" s="97"/>
      <c r="G520" s="97"/>
    </row>
    <row r="521" spans="1:7" ht="12.75">
      <c r="A521" s="97"/>
      <c r="B521" s="65" t="s">
        <v>68</v>
      </c>
      <c r="C521" s="97"/>
      <c r="D521" s="97"/>
      <c r="E521" s="109">
        <v>200</v>
      </c>
      <c r="F521" s="97"/>
      <c r="G521" s="97"/>
    </row>
    <row r="522" spans="1:7" ht="13.5" thickBot="1">
      <c r="A522" s="97"/>
      <c r="B522" s="131"/>
      <c r="C522" s="97"/>
      <c r="D522" s="97"/>
      <c r="E522" s="61">
        <f>SUM(E518:E521)</f>
        <v>25890</v>
      </c>
      <c r="F522" s="97"/>
      <c r="G522" s="61">
        <v>0</v>
      </c>
    </row>
    <row r="523" spans="1:7" ht="13.5" thickTop="1">
      <c r="A523" s="97"/>
      <c r="B523" s="131"/>
      <c r="C523" s="97"/>
      <c r="D523" s="97"/>
      <c r="E523" s="109"/>
      <c r="F523" s="97"/>
      <c r="G523" s="97"/>
    </row>
    <row r="524" spans="1:7" ht="12.75">
      <c r="A524" s="97"/>
      <c r="B524" s="131"/>
      <c r="C524" s="97"/>
      <c r="D524" s="97"/>
      <c r="E524" s="109"/>
      <c r="F524" s="97"/>
      <c r="G524" s="97"/>
    </row>
    <row r="525" spans="2:7" ht="12.75">
      <c r="B525" s="111" t="s">
        <v>521</v>
      </c>
      <c r="C525" s="97"/>
      <c r="D525" s="87"/>
      <c r="E525" s="87"/>
      <c r="F525" s="87"/>
      <c r="G525" s="87"/>
    </row>
    <row r="526" spans="2:7" ht="12.75">
      <c r="B526" s="43" t="s">
        <v>498</v>
      </c>
      <c r="C526" s="94"/>
      <c r="D526" s="87"/>
      <c r="E526" s="87"/>
      <c r="F526" s="87"/>
      <c r="G526" s="87"/>
    </row>
    <row r="527" spans="1:7" ht="12.75">
      <c r="A527" s="97"/>
      <c r="B527" s="117" t="s">
        <v>628</v>
      </c>
      <c r="C527" s="94"/>
      <c r="D527" s="97"/>
      <c r="E527" s="97"/>
      <c r="F527" s="87"/>
      <c r="G527" s="97"/>
    </row>
    <row r="528" spans="1:7" ht="12.75">
      <c r="A528" s="97"/>
      <c r="B528" s="131" t="s">
        <v>448</v>
      </c>
      <c r="C528" s="97"/>
      <c r="D528" s="97"/>
      <c r="E528" s="109">
        <v>33</v>
      </c>
      <c r="F528" s="87"/>
      <c r="G528" s="97"/>
    </row>
    <row r="529" spans="1:7" ht="12.75">
      <c r="A529" s="97"/>
      <c r="B529" s="65" t="s">
        <v>346</v>
      </c>
      <c r="C529" s="97"/>
      <c r="D529" s="97"/>
      <c r="E529" s="109">
        <f>3750</f>
        <v>3750</v>
      </c>
      <c r="F529" s="87"/>
      <c r="G529" s="97"/>
    </row>
    <row r="530" spans="1:7" ht="12.75">
      <c r="A530" s="97"/>
      <c r="B530" s="65" t="s">
        <v>499</v>
      </c>
      <c r="C530" s="97"/>
      <c r="D530" s="97"/>
      <c r="E530" s="109">
        <v>19500</v>
      </c>
      <c r="F530" s="87"/>
      <c r="G530" s="97"/>
    </row>
    <row r="531" spans="1:7" ht="12.75">
      <c r="A531" s="97"/>
      <c r="B531" s="65" t="s">
        <v>68</v>
      </c>
      <c r="C531" s="97"/>
      <c r="D531" s="97"/>
      <c r="E531" s="109">
        <v>250.5</v>
      </c>
      <c r="F531" s="87"/>
      <c r="G531" s="97"/>
    </row>
    <row r="532" spans="1:7" ht="12.75">
      <c r="A532" s="97"/>
      <c r="B532" s="65" t="s">
        <v>29</v>
      </c>
      <c r="C532" s="97"/>
      <c r="D532" s="97"/>
      <c r="E532" s="109">
        <v>8289</v>
      </c>
      <c r="F532" s="87"/>
      <c r="G532" s="97"/>
    </row>
    <row r="533" spans="1:7" ht="12.75">
      <c r="A533" s="97"/>
      <c r="B533" s="65" t="s">
        <v>500</v>
      </c>
      <c r="C533" s="97"/>
      <c r="D533" s="97"/>
      <c r="E533" s="109">
        <v>79656</v>
      </c>
      <c r="F533" s="87"/>
      <c r="G533" s="97"/>
    </row>
    <row r="534" spans="1:7" ht="12.75">
      <c r="A534" s="97"/>
      <c r="B534" s="65" t="s">
        <v>501</v>
      </c>
      <c r="C534" s="97"/>
      <c r="D534" s="97"/>
      <c r="E534" s="109">
        <v>40</v>
      </c>
      <c r="F534" s="87"/>
      <c r="G534" s="97"/>
    </row>
    <row r="535" spans="1:7" ht="12.75">
      <c r="A535" s="97"/>
      <c r="B535" s="65" t="s">
        <v>168</v>
      </c>
      <c r="C535" s="97"/>
      <c r="D535" s="97"/>
      <c r="E535" s="109">
        <v>848</v>
      </c>
      <c r="F535" s="87"/>
      <c r="G535" s="97"/>
    </row>
    <row r="536" spans="1:7" ht="12.75">
      <c r="A536" s="97"/>
      <c r="B536" s="65" t="s">
        <v>454</v>
      </c>
      <c r="C536" s="97"/>
      <c r="D536" s="97"/>
      <c r="E536" s="109">
        <v>833</v>
      </c>
      <c r="F536" s="87"/>
      <c r="G536" s="97"/>
    </row>
    <row r="537" spans="1:7" ht="12.75">
      <c r="A537" s="97"/>
      <c r="B537" s="65" t="s">
        <v>478</v>
      </c>
      <c r="C537" s="97"/>
      <c r="D537" s="97"/>
      <c r="E537" s="109">
        <v>926</v>
      </c>
      <c r="F537" s="87"/>
      <c r="G537" s="97"/>
    </row>
    <row r="538" spans="1:7" ht="12.75">
      <c r="A538" s="97"/>
      <c r="B538" s="65"/>
      <c r="C538" s="97"/>
      <c r="D538" s="97"/>
      <c r="E538" s="109"/>
      <c r="F538" s="87"/>
      <c r="G538" s="97"/>
    </row>
    <row r="539" spans="1:7" ht="12.75">
      <c r="A539" s="97"/>
      <c r="B539" s="116" t="s">
        <v>629</v>
      </c>
      <c r="C539" s="97"/>
      <c r="D539" s="97"/>
      <c r="E539" s="109"/>
      <c r="F539" s="87"/>
      <c r="G539" s="97"/>
    </row>
    <row r="540" spans="1:7" ht="12.75">
      <c r="A540" s="97"/>
      <c r="B540" s="65" t="s">
        <v>30</v>
      </c>
      <c r="C540" s="97"/>
      <c r="D540" s="97"/>
      <c r="E540" s="109">
        <v>22016.5</v>
      </c>
      <c r="F540" s="87"/>
      <c r="G540" s="97"/>
    </row>
    <row r="541" spans="1:7" ht="12.75">
      <c r="A541" s="97"/>
      <c r="B541" s="65"/>
      <c r="C541" s="97"/>
      <c r="D541" s="97"/>
      <c r="E541" s="109"/>
      <c r="F541" s="87"/>
      <c r="G541" s="97"/>
    </row>
    <row r="542" spans="1:7" ht="12.75">
      <c r="A542" s="97"/>
      <c r="B542" s="116" t="s">
        <v>630</v>
      </c>
      <c r="C542" s="97"/>
      <c r="D542" s="97"/>
      <c r="E542" s="109"/>
      <c r="F542" s="87"/>
      <c r="G542" s="97"/>
    </row>
    <row r="543" spans="1:7" ht="12.75">
      <c r="A543" s="97"/>
      <c r="B543" s="65" t="s">
        <v>346</v>
      </c>
      <c r="C543" s="97"/>
      <c r="D543" s="97"/>
      <c r="E543" s="109">
        <v>5000</v>
      </c>
      <c r="F543" s="87"/>
      <c r="G543" s="97"/>
    </row>
    <row r="544" spans="1:7" ht="12.75">
      <c r="A544" s="97"/>
      <c r="B544" s="65" t="s">
        <v>502</v>
      </c>
      <c r="C544" s="97"/>
      <c r="D544" s="97"/>
      <c r="E544" s="109">
        <v>1000</v>
      </c>
      <c r="F544" s="87"/>
      <c r="G544" s="97"/>
    </row>
    <row r="545" spans="1:7" ht="12.75">
      <c r="A545" s="97"/>
      <c r="B545" s="65" t="s">
        <v>503</v>
      </c>
      <c r="C545" s="97"/>
      <c r="D545" s="97"/>
      <c r="E545" s="109">
        <v>88000</v>
      </c>
      <c r="F545" s="87"/>
      <c r="G545" s="97"/>
    </row>
    <row r="546" spans="1:7" ht="12.75">
      <c r="A546" s="97"/>
      <c r="B546" s="65" t="s">
        <v>504</v>
      </c>
      <c r="C546" s="97"/>
      <c r="D546" s="97"/>
      <c r="E546" s="109">
        <v>153031</v>
      </c>
      <c r="F546" s="87"/>
      <c r="G546" s="97"/>
    </row>
    <row r="547" spans="1:7" ht="12.75">
      <c r="A547" s="97"/>
      <c r="B547" s="65" t="s">
        <v>505</v>
      </c>
      <c r="C547" s="97"/>
      <c r="D547" s="97"/>
      <c r="E547" s="109">
        <v>24000</v>
      </c>
      <c r="F547" s="87"/>
      <c r="G547" s="109"/>
    </row>
    <row r="548" spans="1:7" ht="12.75">
      <c r="A548" s="97"/>
      <c r="B548" s="65"/>
      <c r="C548" s="97"/>
      <c r="D548" s="97"/>
      <c r="E548" s="109"/>
      <c r="F548" s="87"/>
      <c r="G548" s="109"/>
    </row>
    <row r="549" spans="1:7" ht="12.75">
      <c r="A549" s="97"/>
      <c r="B549" s="65"/>
      <c r="C549" s="97"/>
      <c r="D549" s="97"/>
      <c r="E549" s="109"/>
      <c r="F549" s="87"/>
      <c r="G549" s="109"/>
    </row>
    <row r="550" spans="1:7" ht="12.75">
      <c r="A550" s="97"/>
      <c r="B550" s="65"/>
      <c r="C550" s="97"/>
      <c r="D550" s="97"/>
      <c r="E550" s="109"/>
      <c r="F550" s="87"/>
      <c r="G550" s="109"/>
    </row>
    <row r="551" spans="1:7" ht="12.75">
      <c r="A551" s="97"/>
      <c r="B551" s="65"/>
      <c r="C551" s="97"/>
      <c r="D551" s="97"/>
      <c r="E551" s="109"/>
      <c r="F551" s="87"/>
      <c r="G551" s="109"/>
    </row>
    <row r="552" spans="1:7" ht="12.75">
      <c r="A552" s="97"/>
      <c r="B552" s="116" t="s">
        <v>631</v>
      </c>
      <c r="C552" s="97"/>
      <c r="D552" s="97"/>
      <c r="E552" s="109"/>
      <c r="F552" s="87"/>
      <c r="G552" s="109"/>
    </row>
    <row r="553" spans="1:7" ht="12.75">
      <c r="A553" s="97"/>
      <c r="B553" s="65" t="s">
        <v>506</v>
      </c>
      <c r="C553" s="97"/>
      <c r="D553" s="97"/>
      <c r="E553" s="109">
        <v>729110</v>
      </c>
      <c r="F553" s="87"/>
      <c r="G553" s="109"/>
    </row>
    <row r="554" spans="1:7" ht="12.75">
      <c r="A554" s="97"/>
      <c r="B554" s="65" t="s">
        <v>507</v>
      </c>
      <c r="C554" s="97"/>
      <c r="D554" s="97"/>
      <c r="E554" s="109">
        <v>44582</v>
      </c>
      <c r="F554" s="87"/>
      <c r="G554" s="109"/>
    </row>
    <row r="555" spans="1:7" ht="12.75">
      <c r="A555" s="97"/>
      <c r="B555" s="65" t="s">
        <v>508</v>
      </c>
      <c r="C555" s="97"/>
      <c r="D555" s="97"/>
      <c r="E555" s="109">
        <v>14483.75</v>
      </c>
      <c r="F555" s="87"/>
      <c r="G555" s="109"/>
    </row>
    <row r="556" spans="1:7" ht="12.75">
      <c r="A556" s="97"/>
      <c r="B556" s="65" t="s">
        <v>509</v>
      </c>
      <c r="C556" s="97"/>
      <c r="D556" s="97"/>
      <c r="E556" s="109">
        <v>66453</v>
      </c>
      <c r="F556" s="87"/>
      <c r="G556" s="97"/>
    </row>
    <row r="557" spans="1:7" ht="12.75">
      <c r="A557" s="97"/>
      <c r="B557" s="65" t="s">
        <v>490</v>
      </c>
      <c r="C557" s="97"/>
      <c r="D557" s="97"/>
      <c r="E557" s="109">
        <v>11205</v>
      </c>
      <c r="F557" s="87"/>
      <c r="G557" s="97"/>
    </row>
    <row r="558" spans="1:7" ht="12.75">
      <c r="A558" s="97"/>
      <c r="B558" s="131"/>
      <c r="C558" s="97"/>
      <c r="D558" s="97"/>
      <c r="E558" s="109"/>
      <c r="F558" s="87"/>
      <c r="G558" s="97"/>
    </row>
    <row r="559" spans="1:7" ht="13.5" thickBot="1">
      <c r="A559" s="97"/>
      <c r="B559" s="131"/>
      <c r="C559" s="97"/>
      <c r="D559" s="97"/>
      <c r="E559" s="61">
        <f>SUM(E528:E558)</f>
        <v>1273006.75</v>
      </c>
      <c r="F559" s="87"/>
      <c r="G559" s="61">
        <f>SUM(G528:G558)</f>
        <v>0</v>
      </c>
    </row>
    <row r="560" spans="1:7" ht="13.5" thickTop="1">
      <c r="A560" s="97"/>
      <c r="B560" s="131"/>
      <c r="C560" s="97"/>
      <c r="D560" s="97"/>
      <c r="E560" s="109"/>
      <c r="F560" s="87"/>
      <c r="G560" s="97"/>
    </row>
    <row r="561" spans="2:7" ht="12.75">
      <c r="B561" s="111" t="s">
        <v>592</v>
      </c>
      <c r="C561" s="97"/>
      <c r="D561" s="87"/>
      <c r="E561" s="87"/>
      <c r="F561" s="87"/>
      <c r="G561" s="87"/>
    </row>
    <row r="562" spans="1:7" ht="12.75">
      <c r="A562" s="97"/>
      <c r="B562" s="113" t="s">
        <v>593</v>
      </c>
      <c r="C562" s="94"/>
      <c r="D562" s="87"/>
      <c r="E562" s="87"/>
      <c r="F562" s="87"/>
      <c r="G562" s="87"/>
    </row>
    <row r="563" spans="1:7" ht="12.75">
      <c r="A563" s="97"/>
      <c r="B563" s="131" t="s">
        <v>448</v>
      </c>
      <c r="C563" s="97"/>
      <c r="D563" s="97"/>
      <c r="E563" s="109">
        <v>145</v>
      </c>
      <c r="F563" s="87"/>
      <c r="G563" s="97"/>
    </row>
    <row r="564" spans="1:7" ht="12.75">
      <c r="A564" s="97"/>
      <c r="B564" s="65" t="s">
        <v>594</v>
      </c>
      <c r="C564" s="97"/>
      <c r="D564" s="97"/>
      <c r="E564" s="109">
        <v>94920</v>
      </c>
      <c r="F564" s="87"/>
      <c r="G564" s="97"/>
    </row>
    <row r="565" spans="1:7" ht="12.75">
      <c r="A565" s="97"/>
      <c r="B565" s="65" t="s">
        <v>486</v>
      </c>
      <c r="C565" s="97"/>
      <c r="D565" s="97"/>
      <c r="E565" s="109">
        <v>900</v>
      </c>
      <c r="F565" s="87"/>
      <c r="G565" s="97"/>
    </row>
    <row r="566" spans="1:7" ht="12.75">
      <c r="A566" s="97"/>
      <c r="B566" s="65" t="s">
        <v>782</v>
      </c>
      <c r="C566" s="97"/>
      <c r="D566" s="97"/>
      <c r="E566" s="109">
        <v>11106</v>
      </c>
      <c r="F566" s="87"/>
      <c r="G566" s="97"/>
    </row>
    <row r="567" spans="1:7" ht="12.75">
      <c r="A567" s="97"/>
      <c r="B567" s="65" t="s">
        <v>158</v>
      </c>
      <c r="C567" s="97"/>
      <c r="D567" s="97"/>
      <c r="E567" s="109">
        <v>8373</v>
      </c>
      <c r="F567" s="87"/>
      <c r="G567" s="97"/>
    </row>
    <row r="568" spans="1:7" ht="12.75">
      <c r="A568" s="97"/>
      <c r="B568" s="65" t="s">
        <v>595</v>
      </c>
      <c r="C568" s="97"/>
      <c r="D568" s="97"/>
      <c r="E568" s="109">
        <v>21590</v>
      </c>
      <c r="F568" s="87"/>
      <c r="G568" s="97"/>
    </row>
    <row r="569" spans="1:7" ht="12.75">
      <c r="A569" s="97"/>
      <c r="B569" s="65" t="s">
        <v>783</v>
      </c>
      <c r="C569" s="97"/>
      <c r="D569" s="97"/>
      <c r="E569" s="109">
        <v>3053</v>
      </c>
      <c r="F569" s="87"/>
      <c r="G569" s="97"/>
    </row>
    <row r="570" spans="1:7" ht="12.75">
      <c r="A570" s="97"/>
      <c r="B570" s="65" t="s">
        <v>596</v>
      </c>
      <c r="C570" s="97"/>
      <c r="D570" s="97"/>
      <c r="E570" s="109">
        <v>6367</v>
      </c>
      <c r="F570" s="87"/>
      <c r="G570" s="97"/>
    </row>
    <row r="571" spans="1:7" ht="12.75">
      <c r="A571" s="97"/>
      <c r="B571" s="65" t="s">
        <v>597</v>
      </c>
      <c r="C571" s="97"/>
      <c r="D571" s="97"/>
      <c r="E571" s="109">
        <v>4094</v>
      </c>
      <c r="F571" s="87"/>
      <c r="G571" s="97"/>
    </row>
    <row r="572" spans="1:7" ht="12.75">
      <c r="A572" s="97"/>
      <c r="B572" s="65" t="s">
        <v>598</v>
      </c>
      <c r="C572" s="97"/>
      <c r="D572" s="97"/>
      <c r="E572" s="109">
        <v>20320</v>
      </c>
      <c r="F572" s="87"/>
      <c r="G572" s="97"/>
    </row>
    <row r="573" spans="1:7" ht="12.75">
      <c r="A573" s="97"/>
      <c r="B573" s="65" t="s">
        <v>599</v>
      </c>
      <c r="C573" s="97"/>
      <c r="D573" s="97"/>
      <c r="E573" s="109">
        <f>19650</f>
        <v>19650</v>
      </c>
      <c r="F573" s="87"/>
      <c r="G573" s="97"/>
    </row>
    <row r="574" spans="1:7" ht="12.75">
      <c r="A574" s="97"/>
      <c r="B574" s="65" t="s">
        <v>174</v>
      </c>
      <c r="C574" s="97"/>
      <c r="D574" s="97"/>
      <c r="E574" s="109">
        <v>1138</v>
      </c>
      <c r="F574" s="87"/>
      <c r="G574" s="97"/>
    </row>
    <row r="575" spans="1:7" ht="12.75">
      <c r="A575" s="97"/>
      <c r="B575" s="65" t="s">
        <v>175</v>
      </c>
      <c r="C575" s="97"/>
      <c r="D575" s="97"/>
      <c r="E575" s="109">
        <v>246</v>
      </c>
      <c r="F575" s="87"/>
      <c r="G575" s="97"/>
    </row>
    <row r="576" spans="1:7" ht="12.75">
      <c r="A576" s="97"/>
      <c r="B576" s="65" t="s">
        <v>600</v>
      </c>
      <c r="C576" s="97"/>
      <c r="D576" s="97"/>
      <c r="E576" s="109">
        <v>71458</v>
      </c>
      <c r="F576" s="87"/>
      <c r="G576" s="97"/>
    </row>
    <row r="577" spans="1:7" ht="12.75">
      <c r="A577" s="97"/>
      <c r="B577" s="65" t="s">
        <v>68</v>
      </c>
      <c r="C577" s="97"/>
      <c r="D577" s="97"/>
      <c r="E577" s="109">
        <v>19420</v>
      </c>
      <c r="F577" s="87"/>
      <c r="G577" s="97"/>
    </row>
    <row r="578" spans="1:7" ht="12.75">
      <c r="A578" s="97"/>
      <c r="B578" s="65" t="s">
        <v>601</v>
      </c>
      <c r="C578" s="97"/>
      <c r="D578" s="97"/>
      <c r="E578" s="109">
        <v>17699</v>
      </c>
      <c r="F578" s="87"/>
      <c r="G578" s="97"/>
    </row>
    <row r="579" spans="1:7" ht="12.75">
      <c r="A579" s="97"/>
      <c r="B579" s="65" t="s">
        <v>586</v>
      </c>
      <c r="C579" s="97"/>
      <c r="D579" s="97"/>
      <c r="E579" s="109">
        <v>190</v>
      </c>
      <c r="F579" s="87"/>
      <c r="G579" s="97"/>
    </row>
    <row r="580" spans="1:7" ht="12.75">
      <c r="A580" s="97"/>
      <c r="B580" s="65" t="s">
        <v>602</v>
      </c>
      <c r="C580" s="97"/>
      <c r="D580" s="97"/>
      <c r="E580" s="109">
        <v>4571</v>
      </c>
      <c r="F580" s="87"/>
      <c r="G580" s="97"/>
    </row>
    <row r="581" spans="1:7" ht="12.75">
      <c r="A581" s="97"/>
      <c r="B581" s="65" t="s">
        <v>784</v>
      </c>
      <c r="C581" s="97"/>
      <c r="D581" s="97"/>
      <c r="E581" s="109">
        <v>76</v>
      </c>
      <c r="F581" s="87"/>
      <c r="G581" s="97"/>
    </row>
    <row r="582" spans="1:7" ht="12.75">
      <c r="A582" s="97"/>
      <c r="B582" s="65" t="s">
        <v>603</v>
      </c>
      <c r="C582" s="97"/>
      <c r="D582" s="97"/>
      <c r="E582" s="109">
        <v>15580</v>
      </c>
      <c r="F582" s="87"/>
      <c r="G582" s="97"/>
    </row>
    <row r="583" spans="1:7" ht="12.75">
      <c r="A583" s="97"/>
      <c r="B583" s="65" t="s">
        <v>604</v>
      </c>
      <c r="C583" s="97"/>
      <c r="D583" s="97"/>
      <c r="E583" s="109">
        <v>50500</v>
      </c>
      <c r="F583" s="87"/>
      <c r="G583" s="97"/>
    </row>
    <row r="584" spans="1:7" ht="12.75">
      <c r="A584" s="97"/>
      <c r="B584" s="65" t="s">
        <v>605</v>
      </c>
      <c r="C584" s="97"/>
      <c r="D584" s="97"/>
      <c r="E584" s="109">
        <v>56250</v>
      </c>
      <c r="F584" s="87"/>
      <c r="G584" s="97"/>
    </row>
    <row r="585" spans="1:7" ht="12.75">
      <c r="A585" s="97"/>
      <c r="B585" s="65" t="s">
        <v>606</v>
      </c>
      <c r="C585" s="97"/>
      <c r="D585" s="97"/>
      <c r="E585" s="109">
        <v>7500</v>
      </c>
      <c r="F585" s="87"/>
      <c r="G585" s="97"/>
    </row>
    <row r="586" spans="1:7" ht="12.75">
      <c r="A586" s="97"/>
      <c r="B586" s="65" t="s">
        <v>607</v>
      </c>
      <c r="C586" s="97"/>
      <c r="D586" s="97"/>
      <c r="E586" s="109">
        <v>10845</v>
      </c>
      <c r="F586" s="87"/>
      <c r="G586" s="97"/>
    </row>
    <row r="587" spans="1:7" ht="12.75">
      <c r="A587" s="97"/>
      <c r="B587" s="65" t="s">
        <v>168</v>
      </c>
      <c r="C587" s="97"/>
      <c r="D587" s="97"/>
      <c r="E587" s="109">
        <v>3448</v>
      </c>
      <c r="F587" s="87"/>
      <c r="G587" s="97"/>
    </row>
    <row r="588" spans="1:7" ht="12.75">
      <c r="A588" s="97"/>
      <c r="B588" s="65" t="s">
        <v>454</v>
      </c>
      <c r="C588" s="97"/>
      <c r="D588" s="97"/>
      <c r="E588" s="109">
        <f>3620+4365</f>
        <v>7985</v>
      </c>
      <c r="F588" s="87"/>
      <c r="G588" s="97"/>
    </row>
    <row r="589" spans="1:7" ht="12.75">
      <c r="A589" s="97"/>
      <c r="B589" s="65" t="s">
        <v>180</v>
      </c>
      <c r="C589" s="97"/>
      <c r="D589" s="97"/>
      <c r="E589" s="109">
        <v>4133</v>
      </c>
      <c r="F589" s="87"/>
      <c r="G589" s="97"/>
    </row>
    <row r="590" spans="1:7" ht="12.75">
      <c r="A590" s="97"/>
      <c r="B590" s="65" t="s">
        <v>608</v>
      </c>
      <c r="C590" s="97"/>
      <c r="D590" s="97"/>
      <c r="E590" s="109">
        <v>21870</v>
      </c>
      <c r="F590" s="87"/>
      <c r="G590" s="97"/>
    </row>
    <row r="591" spans="1:7" ht="12.75">
      <c r="A591" s="97"/>
      <c r="B591" s="65" t="s">
        <v>30</v>
      </c>
      <c r="C591" s="97"/>
      <c r="D591" s="97"/>
      <c r="E591" s="109">
        <v>73983</v>
      </c>
      <c r="F591" s="87"/>
      <c r="G591" s="97"/>
    </row>
    <row r="592" spans="1:7" ht="12.75">
      <c r="A592" s="97"/>
      <c r="B592" s="65" t="s">
        <v>574</v>
      </c>
      <c r="C592" s="97"/>
      <c r="D592" s="97"/>
      <c r="E592" s="109">
        <v>1125</v>
      </c>
      <c r="F592" s="87"/>
      <c r="G592" s="97"/>
    </row>
    <row r="593" spans="1:7" ht="12.75">
      <c r="A593" s="97"/>
      <c r="B593" s="65" t="s">
        <v>609</v>
      </c>
      <c r="C593" s="97"/>
      <c r="D593" s="97"/>
      <c r="E593" s="109">
        <v>3580</v>
      </c>
      <c r="F593" s="87"/>
      <c r="G593" s="97"/>
    </row>
    <row r="594" spans="1:7" ht="12.75">
      <c r="A594" s="97"/>
      <c r="B594" s="65" t="s">
        <v>536</v>
      </c>
      <c r="C594" s="97"/>
      <c r="D594" s="97"/>
      <c r="E594" s="109">
        <v>693</v>
      </c>
      <c r="F594" s="87"/>
      <c r="G594" s="97"/>
    </row>
    <row r="595" spans="1:7" ht="12.75">
      <c r="A595" s="97"/>
      <c r="B595" s="131"/>
      <c r="C595" s="97"/>
      <c r="D595" s="97"/>
      <c r="E595" s="109"/>
      <c r="F595" s="87"/>
      <c r="G595" s="97"/>
    </row>
    <row r="596" spans="1:7" ht="13.5" thickBot="1">
      <c r="A596" s="97"/>
      <c r="B596" s="131"/>
      <c r="C596" s="97"/>
      <c r="D596" s="97"/>
      <c r="E596" s="61">
        <f>SUM(E563:E595)</f>
        <v>562808</v>
      </c>
      <c r="F596" s="87"/>
      <c r="G596" s="61">
        <f>SUM(G563:G595)</f>
        <v>0</v>
      </c>
    </row>
    <row r="597" spans="1:7" ht="13.5" thickTop="1">
      <c r="A597" s="97"/>
      <c r="B597" s="131"/>
      <c r="C597" s="97"/>
      <c r="D597" s="97"/>
      <c r="E597" s="109"/>
      <c r="F597" s="87"/>
      <c r="G597" s="97"/>
    </row>
    <row r="598" spans="1:7" ht="12.75">
      <c r="A598" s="97"/>
      <c r="B598" s="111" t="s">
        <v>610</v>
      </c>
      <c r="C598" s="97"/>
      <c r="D598" s="87"/>
      <c r="E598" s="87"/>
      <c r="F598" s="87"/>
      <c r="G598" s="87"/>
    </row>
    <row r="599" spans="1:7" ht="12.75">
      <c r="A599" s="97"/>
      <c r="B599" s="113" t="s">
        <v>611</v>
      </c>
      <c r="C599" s="94"/>
      <c r="D599" s="87"/>
      <c r="E599" s="87"/>
      <c r="F599" s="87"/>
      <c r="G599" s="87"/>
    </row>
    <row r="600" spans="1:7" ht="12.75">
      <c r="A600" s="97"/>
      <c r="B600" s="131" t="s">
        <v>612</v>
      </c>
      <c r="C600" s="97"/>
      <c r="D600" s="97"/>
      <c r="E600" s="109">
        <v>21000</v>
      </c>
      <c r="F600" s="87"/>
      <c r="G600" s="97"/>
    </row>
    <row r="601" spans="1:7" ht="12.75">
      <c r="A601" s="97"/>
      <c r="B601" s="65" t="s">
        <v>393</v>
      </c>
      <c r="C601" s="97"/>
      <c r="D601" s="97"/>
      <c r="E601" s="109">
        <v>475</v>
      </c>
      <c r="F601" s="87"/>
      <c r="G601" s="97"/>
    </row>
    <row r="602" spans="1:7" ht="12.75">
      <c r="A602" s="97"/>
      <c r="B602" s="65" t="s">
        <v>68</v>
      </c>
      <c r="C602" s="97"/>
      <c r="D602" s="97"/>
      <c r="E602" s="109">
        <v>3477</v>
      </c>
      <c r="F602" s="87"/>
      <c r="G602" s="97"/>
    </row>
    <row r="603" spans="1:7" ht="12.75">
      <c r="A603" s="97"/>
      <c r="B603" s="65" t="s">
        <v>29</v>
      </c>
      <c r="C603" s="97"/>
      <c r="D603" s="97"/>
      <c r="E603" s="109">
        <v>75</v>
      </c>
      <c r="F603" s="87"/>
      <c r="G603" s="97"/>
    </row>
    <row r="604" spans="1:7" ht="12.75">
      <c r="A604" s="97"/>
      <c r="B604" s="65" t="s">
        <v>115</v>
      </c>
      <c r="C604" s="97"/>
      <c r="D604" s="97"/>
      <c r="E604" s="109">
        <v>2000</v>
      </c>
      <c r="F604" s="87"/>
      <c r="G604" s="97"/>
    </row>
    <row r="605" spans="1:7" ht="12.75">
      <c r="A605" s="97"/>
      <c r="B605" s="65" t="s">
        <v>574</v>
      </c>
      <c r="C605" s="97"/>
      <c r="D605" s="97"/>
      <c r="E605" s="109">
        <v>293</v>
      </c>
      <c r="F605" s="87"/>
      <c r="G605" s="97"/>
    </row>
    <row r="606" spans="1:7" ht="12.75">
      <c r="A606" s="97"/>
      <c r="B606" s="65" t="s">
        <v>158</v>
      </c>
      <c r="C606" s="97"/>
      <c r="D606" s="97"/>
      <c r="E606" s="109">
        <v>2575</v>
      </c>
      <c r="F606" s="87"/>
      <c r="G606" s="97"/>
    </row>
    <row r="607" spans="1:7" ht="12.75">
      <c r="A607" s="97"/>
      <c r="B607" s="65" t="s">
        <v>613</v>
      </c>
      <c r="C607" s="97"/>
      <c r="D607" s="97"/>
      <c r="E607" s="109">
        <v>1400</v>
      </c>
      <c r="F607" s="87"/>
      <c r="G607" s="97"/>
    </row>
    <row r="608" spans="1:7" ht="12.75">
      <c r="A608" s="97"/>
      <c r="B608" s="65" t="s">
        <v>488</v>
      </c>
      <c r="C608" s="97"/>
      <c r="D608" s="97"/>
      <c r="E608" s="109">
        <v>4234</v>
      </c>
      <c r="F608" s="87"/>
      <c r="G608" s="97"/>
    </row>
    <row r="609" spans="1:7" ht="12.75">
      <c r="A609" s="97"/>
      <c r="B609" s="65" t="s">
        <v>785</v>
      </c>
      <c r="C609" s="97"/>
      <c r="D609" s="97"/>
      <c r="E609" s="109">
        <v>25212.5</v>
      </c>
      <c r="F609" s="87"/>
      <c r="G609" s="97"/>
    </row>
    <row r="610" spans="1:7" ht="12.75">
      <c r="A610" s="97"/>
      <c r="B610" s="65" t="s">
        <v>786</v>
      </c>
      <c r="C610" s="97"/>
      <c r="D610" s="97"/>
      <c r="E610" s="109">
        <v>1034</v>
      </c>
      <c r="F610" s="87"/>
      <c r="G610" s="97"/>
    </row>
    <row r="611" spans="1:7" ht="12.75">
      <c r="A611" s="97"/>
      <c r="B611" s="65" t="s">
        <v>180</v>
      </c>
      <c r="C611" s="97"/>
      <c r="D611" s="97"/>
      <c r="E611" s="109">
        <v>253</v>
      </c>
      <c r="F611" s="87"/>
      <c r="G611" s="97"/>
    </row>
    <row r="612" spans="1:7" ht="12.75">
      <c r="A612" s="97"/>
      <c r="B612" s="65" t="s">
        <v>608</v>
      </c>
      <c r="C612" s="97"/>
      <c r="D612" s="97"/>
      <c r="E612" s="109">
        <v>1400</v>
      </c>
      <c r="F612" s="87"/>
      <c r="G612" s="97"/>
    </row>
    <row r="613" spans="1:7" ht="12.75">
      <c r="A613" s="97"/>
      <c r="B613" s="65" t="s">
        <v>168</v>
      </c>
      <c r="C613" s="97"/>
      <c r="D613" s="97"/>
      <c r="E613" s="109">
        <v>762</v>
      </c>
      <c r="F613" s="87"/>
      <c r="G613" s="97"/>
    </row>
    <row r="614" spans="1:7" ht="12.75">
      <c r="A614" s="97"/>
      <c r="B614" s="65" t="s">
        <v>30</v>
      </c>
      <c r="C614" s="97"/>
      <c r="D614" s="97"/>
      <c r="E614" s="109">
        <v>3983</v>
      </c>
      <c r="F614" s="87"/>
      <c r="G614" s="97"/>
    </row>
    <row r="615" spans="1:7" ht="12.75">
      <c r="A615" s="97"/>
      <c r="B615" s="65" t="s">
        <v>609</v>
      </c>
      <c r="C615" s="97"/>
      <c r="D615" s="97"/>
      <c r="E615" s="109">
        <v>890</v>
      </c>
      <c r="F615" s="87"/>
      <c r="G615" s="97"/>
    </row>
    <row r="616" spans="1:7" ht="12.75">
      <c r="A616" s="97"/>
      <c r="B616" s="65" t="s">
        <v>614</v>
      </c>
      <c r="C616" s="97"/>
      <c r="D616" s="97"/>
      <c r="E616" s="109">
        <v>9400</v>
      </c>
      <c r="F616" s="87"/>
      <c r="G616" s="97"/>
    </row>
    <row r="617" spans="1:7" ht="12.75">
      <c r="A617" s="97"/>
      <c r="B617" s="65" t="s">
        <v>603</v>
      </c>
      <c r="C617" s="97"/>
      <c r="D617" s="97"/>
      <c r="E617" s="109">
        <v>9400</v>
      </c>
      <c r="F617" s="87"/>
      <c r="G617" s="97"/>
    </row>
    <row r="618" spans="1:7" ht="12.75">
      <c r="A618" s="97"/>
      <c r="B618" s="65" t="s">
        <v>615</v>
      </c>
      <c r="C618" s="97"/>
      <c r="D618" s="97"/>
      <c r="E618" s="109">
        <v>42000</v>
      </c>
      <c r="F618" s="87"/>
      <c r="G618" s="97"/>
    </row>
    <row r="619" spans="1:7" ht="12.75">
      <c r="A619" s="97"/>
      <c r="B619" s="65" t="s">
        <v>605</v>
      </c>
      <c r="C619" s="97"/>
      <c r="D619" s="97"/>
      <c r="E619" s="109">
        <v>39466</v>
      </c>
      <c r="F619" s="87"/>
      <c r="G619" s="97"/>
    </row>
    <row r="620" spans="1:7" ht="12.75">
      <c r="A620" s="97"/>
      <c r="B620" s="65" t="s">
        <v>616</v>
      </c>
      <c r="C620" s="97"/>
      <c r="D620" s="97"/>
      <c r="E620" s="109">
        <v>9267</v>
      </c>
      <c r="F620" s="87"/>
      <c r="G620" s="97"/>
    </row>
    <row r="621" spans="1:7" ht="12.75">
      <c r="A621" s="97"/>
      <c r="B621" s="65" t="s">
        <v>800</v>
      </c>
      <c r="C621" s="97"/>
      <c r="D621" s="97"/>
      <c r="E621" s="109">
        <v>4125</v>
      </c>
      <c r="F621" s="87"/>
      <c r="G621" s="97"/>
    </row>
    <row r="622" spans="2:7" ht="13.5" thickBot="1">
      <c r="B622" s="131"/>
      <c r="C622" s="97"/>
      <c r="D622" s="97"/>
      <c r="E622" s="61">
        <f>SUM(E600:E621)</f>
        <v>182721.5</v>
      </c>
      <c r="F622" s="87"/>
      <c r="G622" s="61">
        <f>SUM(G600:G621)</f>
        <v>0</v>
      </c>
    </row>
    <row r="623" spans="2:7" ht="13.5" thickTop="1">
      <c r="B623" s="111" t="s">
        <v>792</v>
      </c>
      <c r="C623" s="97"/>
      <c r="D623" s="97"/>
      <c r="E623" s="109"/>
      <c r="F623" s="87"/>
      <c r="G623" s="97"/>
    </row>
    <row r="624" spans="1:7" ht="12.75">
      <c r="A624" s="97"/>
      <c r="B624" s="113" t="s">
        <v>794</v>
      </c>
      <c r="C624" s="97"/>
      <c r="D624" s="97"/>
      <c r="E624" s="109"/>
      <c r="F624" s="87"/>
      <c r="G624" s="97"/>
    </row>
    <row r="625" spans="1:7" ht="12.75">
      <c r="A625" s="97"/>
      <c r="B625" s="65" t="s">
        <v>788</v>
      </c>
      <c r="C625" s="97"/>
      <c r="D625" s="97"/>
      <c r="E625" s="109">
        <v>1000</v>
      </c>
      <c r="F625" s="87"/>
      <c r="G625" s="97"/>
    </row>
    <row r="626" spans="1:7" ht="12.75">
      <c r="A626" s="97"/>
      <c r="B626" s="65" t="s">
        <v>68</v>
      </c>
      <c r="C626" s="97"/>
      <c r="D626" s="97"/>
      <c r="E626" s="109">
        <v>90</v>
      </c>
      <c r="F626" s="87"/>
      <c r="G626" s="97"/>
    </row>
    <row r="627" spans="1:7" ht="12.75">
      <c r="A627" s="97"/>
      <c r="B627" s="65" t="s">
        <v>29</v>
      </c>
      <c r="C627" s="97"/>
      <c r="D627" s="97"/>
      <c r="E627" s="109">
        <v>14</v>
      </c>
      <c r="F627" s="87"/>
      <c r="G627" s="97"/>
    </row>
    <row r="628" spans="1:7" ht="12.75">
      <c r="A628" s="97"/>
      <c r="B628" s="65" t="s">
        <v>71</v>
      </c>
      <c r="C628" s="97"/>
      <c r="D628" s="97"/>
      <c r="E628" s="109">
        <v>4910</v>
      </c>
      <c r="F628" s="87"/>
      <c r="G628" s="97"/>
    </row>
    <row r="629" spans="1:7" ht="12.75">
      <c r="A629" s="97"/>
      <c r="B629" s="65" t="s">
        <v>789</v>
      </c>
      <c r="C629" s="97"/>
      <c r="D629" s="97"/>
      <c r="E629" s="109">
        <v>1764</v>
      </c>
      <c r="F629" s="87"/>
      <c r="G629" s="97"/>
    </row>
    <row r="630" spans="1:7" ht="12.75">
      <c r="A630" s="97"/>
      <c r="B630" s="65" t="s">
        <v>791</v>
      </c>
      <c r="C630" s="97"/>
      <c r="D630" s="97"/>
      <c r="E630" s="109">
        <v>25329</v>
      </c>
      <c r="F630" s="87"/>
      <c r="G630" s="97"/>
    </row>
    <row r="631" spans="1:7" ht="12.75">
      <c r="A631" s="97"/>
      <c r="B631" s="65" t="s">
        <v>790</v>
      </c>
      <c r="C631" s="97"/>
      <c r="D631" s="97"/>
      <c r="E631" s="109">
        <v>4900</v>
      </c>
      <c r="F631" s="87"/>
      <c r="G631" s="97"/>
    </row>
    <row r="632" spans="1:7" ht="12.75">
      <c r="A632" s="97"/>
      <c r="B632" s="65" t="s">
        <v>347</v>
      </c>
      <c r="C632" s="97"/>
      <c r="D632" s="97"/>
      <c r="E632" s="109">
        <v>1000</v>
      </c>
      <c r="F632" s="87"/>
      <c r="G632" s="97"/>
    </row>
    <row r="633" spans="1:7" ht="13.5" thickBot="1">
      <c r="A633" s="97"/>
      <c r="B633" s="131"/>
      <c r="C633" s="97"/>
      <c r="D633" s="97"/>
      <c r="E633" s="61">
        <f>SUM(E625:E632)</f>
        <v>39007</v>
      </c>
      <c r="F633" s="87"/>
      <c r="G633" s="61">
        <f>SUM(G625:G632)</f>
        <v>0</v>
      </c>
    </row>
    <row r="634" spans="1:7" ht="13.5" thickTop="1">
      <c r="A634" s="97"/>
      <c r="B634" s="111" t="s">
        <v>553</v>
      </c>
      <c r="C634" s="97"/>
      <c r="D634" s="87"/>
      <c r="E634" s="87"/>
      <c r="F634" s="87"/>
      <c r="G634" s="87"/>
    </row>
    <row r="635" spans="1:7" ht="12.75">
      <c r="A635" s="97"/>
      <c r="B635" s="36" t="s">
        <v>522</v>
      </c>
      <c r="C635" s="94"/>
      <c r="D635" s="87"/>
      <c r="E635" s="87"/>
      <c r="F635" s="87"/>
      <c r="G635" s="87"/>
    </row>
    <row r="636" spans="1:7" ht="12.75">
      <c r="A636" s="97"/>
      <c r="B636" s="117" t="s">
        <v>626</v>
      </c>
      <c r="C636" s="94"/>
      <c r="D636" s="97"/>
      <c r="E636" s="97"/>
      <c r="F636" s="87"/>
      <c r="G636" s="97"/>
    </row>
    <row r="637" spans="1:7" ht="12.75">
      <c r="A637" s="97"/>
      <c r="B637" s="267" t="s">
        <v>799</v>
      </c>
      <c r="C637" s="268"/>
      <c r="D637" s="97"/>
      <c r="E637" s="97"/>
      <c r="F637" s="87"/>
      <c r="G637" s="109">
        <v>74394</v>
      </c>
    </row>
    <row r="638" spans="1:7" ht="12.75">
      <c r="A638" s="97"/>
      <c r="B638" s="131" t="s">
        <v>155</v>
      </c>
      <c r="C638" s="97"/>
      <c r="D638" s="97"/>
      <c r="E638" s="109">
        <v>128311</v>
      </c>
      <c r="F638" s="58"/>
      <c r="G638" s="109">
        <f>2540+30072+29363.5</f>
        <v>61975.5</v>
      </c>
    </row>
    <row r="639" spans="1:7" ht="12.75">
      <c r="A639" s="97"/>
      <c r="B639" s="65" t="s">
        <v>448</v>
      </c>
      <c r="C639" s="97"/>
      <c r="D639" s="97"/>
      <c r="E639" s="109">
        <v>17131.78</v>
      </c>
      <c r="F639" s="87"/>
      <c r="G639" s="109">
        <v>4808</v>
      </c>
    </row>
    <row r="640" spans="1:7" ht="12.75">
      <c r="A640" s="97"/>
      <c r="B640" s="65" t="s">
        <v>523</v>
      </c>
      <c r="C640" s="97"/>
      <c r="D640" s="97"/>
      <c r="E640" s="109">
        <v>5000</v>
      </c>
      <c r="F640" s="87"/>
      <c r="G640" s="109"/>
    </row>
    <row r="641" spans="1:7" ht="12.75">
      <c r="A641" s="97"/>
      <c r="B641" s="65" t="s">
        <v>524</v>
      </c>
      <c r="C641" s="97"/>
      <c r="D641" s="97"/>
      <c r="E641" s="109">
        <v>151859</v>
      </c>
      <c r="F641" s="87"/>
      <c r="G641" s="109">
        <v>62099</v>
      </c>
    </row>
    <row r="642" spans="1:7" ht="12.75">
      <c r="A642" s="97"/>
      <c r="B642" s="65" t="s">
        <v>525</v>
      </c>
      <c r="C642" s="97"/>
      <c r="D642" s="97"/>
      <c r="E642" s="109">
        <v>1947</v>
      </c>
      <c r="F642" s="87"/>
      <c r="G642" s="109"/>
    </row>
    <row r="643" spans="1:7" ht="12.75">
      <c r="A643" s="97"/>
      <c r="B643" s="65" t="s">
        <v>526</v>
      </c>
      <c r="C643" s="97"/>
      <c r="D643" s="97"/>
      <c r="E643" s="109">
        <v>20560</v>
      </c>
      <c r="F643" s="87"/>
      <c r="G643" s="109">
        <v>60438</v>
      </c>
    </row>
    <row r="644" spans="1:7" ht="12.75">
      <c r="A644" s="97"/>
      <c r="B644" s="65" t="s">
        <v>527</v>
      </c>
      <c r="C644" s="97"/>
      <c r="D644" s="97"/>
      <c r="E644" s="109">
        <v>961</v>
      </c>
      <c r="F644" s="87"/>
      <c r="G644" s="109"/>
    </row>
    <row r="645" spans="1:7" ht="12.75">
      <c r="A645" s="97"/>
      <c r="B645" s="65" t="s">
        <v>178</v>
      </c>
      <c r="C645" s="97"/>
      <c r="D645" s="97"/>
      <c r="E645" s="109">
        <v>337</v>
      </c>
      <c r="F645" s="87"/>
      <c r="G645" s="109"/>
    </row>
    <row r="646" spans="1:7" ht="12.75">
      <c r="A646" s="97"/>
      <c r="B646" s="65" t="s">
        <v>528</v>
      </c>
      <c r="C646" s="97"/>
      <c r="D646" s="97"/>
      <c r="E646" s="109">
        <v>11191</v>
      </c>
      <c r="F646" s="58"/>
      <c r="G646" s="109">
        <v>8647</v>
      </c>
    </row>
    <row r="647" spans="1:7" ht="12.75">
      <c r="A647" s="97"/>
      <c r="B647" s="65" t="s">
        <v>529</v>
      </c>
      <c r="C647" s="97"/>
      <c r="D647" s="97"/>
      <c r="E647" s="109">
        <v>16424</v>
      </c>
      <c r="F647" s="87"/>
      <c r="G647" s="109">
        <v>14286</v>
      </c>
    </row>
    <row r="648" spans="1:7" ht="12.75">
      <c r="A648" s="97"/>
      <c r="B648" s="65" t="s">
        <v>530</v>
      </c>
      <c r="C648" s="97"/>
      <c r="D648" s="97"/>
      <c r="E648" s="109">
        <v>57669</v>
      </c>
      <c r="F648" s="87"/>
      <c r="G648" s="109">
        <v>25600</v>
      </c>
    </row>
    <row r="649" spans="1:7" ht="12.75">
      <c r="A649" s="97"/>
      <c r="B649" s="65" t="s">
        <v>170</v>
      </c>
      <c r="C649" s="97"/>
      <c r="D649" s="97"/>
      <c r="E649" s="109">
        <f>42000+11030</f>
        <v>53030</v>
      </c>
      <c r="F649" s="87"/>
      <c r="G649" s="109">
        <v>29251</v>
      </c>
    </row>
    <row r="650" spans="1:7" ht="12.75">
      <c r="A650" s="97"/>
      <c r="B650" s="65" t="s">
        <v>173</v>
      </c>
      <c r="C650" s="97"/>
      <c r="D650" s="97"/>
      <c r="E650" s="109"/>
      <c r="F650" s="87"/>
      <c r="G650" s="109">
        <v>120</v>
      </c>
    </row>
    <row r="651" spans="1:7" ht="12.75">
      <c r="A651" s="97"/>
      <c r="B651" s="65" t="s">
        <v>345</v>
      </c>
      <c r="C651" s="97"/>
      <c r="D651" s="97"/>
      <c r="E651" s="109">
        <v>3731</v>
      </c>
      <c r="F651" s="87"/>
      <c r="G651" s="109">
        <f>14822+1122.5</f>
        <v>15944.5</v>
      </c>
    </row>
    <row r="652" spans="1:7" ht="12.75">
      <c r="A652" s="97"/>
      <c r="B652" s="65" t="s">
        <v>796</v>
      </c>
      <c r="C652" s="97"/>
      <c r="D652" s="97"/>
      <c r="E652" s="109">
        <v>4500</v>
      </c>
      <c r="F652" s="87"/>
      <c r="G652" s="109">
        <v>7000</v>
      </c>
    </row>
    <row r="653" spans="1:7" ht="12.75">
      <c r="A653" s="97"/>
      <c r="B653" s="65" t="s">
        <v>449</v>
      </c>
      <c r="C653" s="97"/>
      <c r="D653" s="97"/>
      <c r="E653" s="109">
        <v>16370</v>
      </c>
      <c r="F653" s="87"/>
      <c r="G653" s="109"/>
    </row>
    <row r="654" spans="1:7" ht="12.75">
      <c r="A654" s="97"/>
      <c r="B654" s="65" t="s">
        <v>171</v>
      </c>
      <c r="C654" s="97"/>
      <c r="D654" s="97"/>
      <c r="E654" s="109">
        <v>17541</v>
      </c>
      <c r="F654" s="87"/>
      <c r="G654" s="109">
        <v>3881</v>
      </c>
    </row>
    <row r="655" spans="1:7" ht="12.75">
      <c r="A655" s="97"/>
      <c r="B655" s="65" t="s">
        <v>451</v>
      </c>
      <c r="C655" s="97"/>
      <c r="D655" s="97"/>
      <c r="E655" s="109">
        <v>40965</v>
      </c>
      <c r="F655" s="87"/>
      <c r="G655" s="109">
        <v>56210</v>
      </c>
    </row>
    <row r="656" spans="1:7" ht="12.75">
      <c r="A656" s="97"/>
      <c r="B656" s="65" t="s">
        <v>293</v>
      </c>
      <c r="C656" s="97"/>
      <c r="D656" s="97"/>
      <c r="E656" s="109">
        <v>1000</v>
      </c>
      <c r="F656" s="87"/>
      <c r="G656" s="109"/>
    </row>
    <row r="657" spans="1:7" ht="12.75">
      <c r="A657" s="97"/>
      <c r="B657" s="65" t="s">
        <v>531</v>
      </c>
      <c r="C657" s="97"/>
      <c r="D657" s="97"/>
      <c r="E657" s="109">
        <v>7476</v>
      </c>
      <c r="F657" s="87"/>
      <c r="G657" s="109"/>
    </row>
    <row r="658" spans="1:7" ht="12.75">
      <c r="A658" s="97"/>
      <c r="B658" s="65" t="s">
        <v>532</v>
      </c>
      <c r="C658" s="97"/>
      <c r="D658" s="97"/>
      <c r="E658" s="109">
        <v>20516</v>
      </c>
      <c r="F658" s="87"/>
      <c r="G658" s="109">
        <f>6000+32569.5+2550</f>
        <v>41119.5</v>
      </c>
    </row>
    <row r="659" spans="1:7" ht="12.75">
      <c r="A659" s="97"/>
      <c r="B659" s="65" t="s">
        <v>533</v>
      </c>
      <c r="C659" s="97"/>
      <c r="D659" s="97"/>
      <c r="E659" s="109">
        <v>7694</v>
      </c>
      <c r="F659" s="87"/>
      <c r="G659" s="109">
        <v>7766.5</v>
      </c>
    </row>
    <row r="660" spans="1:7" ht="12.75">
      <c r="A660" s="97"/>
      <c r="B660" s="65" t="s">
        <v>29</v>
      </c>
      <c r="C660" s="97"/>
      <c r="D660" s="97"/>
      <c r="E660" s="109">
        <v>38998.5</v>
      </c>
      <c r="F660" s="87"/>
      <c r="G660" s="109">
        <v>20645</v>
      </c>
    </row>
    <row r="661" spans="1:7" ht="12.75">
      <c r="A661" s="97"/>
      <c r="B661" s="65" t="s">
        <v>781</v>
      </c>
      <c r="C661" s="97"/>
      <c r="D661" s="97"/>
      <c r="E661" s="109">
        <v>1816</v>
      </c>
      <c r="F661" s="87"/>
      <c r="G661" s="109">
        <v>1124</v>
      </c>
    </row>
    <row r="662" spans="1:7" ht="12.75">
      <c r="A662" s="97"/>
      <c r="B662" s="65" t="s">
        <v>534</v>
      </c>
      <c r="C662" s="97"/>
      <c r="D662" s="97"/>
      <c r="E662" s="109">
        <v>32819</v>
      </c>
      <c r="F662" s="87"/>
      <c r="G662" s="109">
        <v>33675</v>
      </c>
    </row>
    <row r="663" spans="1:7" ht="12.75">
      <c r="A663" s="97"/>
      <c r="B663" s="65" t="s">
        <v>168</v>
      </c>
      <c r="C663" s="97"/>
      <c r="D663" s="97"/>
      <c r="E663" s="109">
        <v>5610</v>
      </c>
      <c r="F663" s="87"/>
      <c r="G663" s="109">
        <v>1792</v>
      </c>
    </row>
    <row r="664" spans="1:7" ht="12.75">
      <c r="A664" s="97"/>
      <c r="B664" s="65" t="s">
        <v>535</v>
      </c>
      <c r="C664" s="97"/>
      <c r="D664" s="97"/>
      <c r="E664" s="109">
        <v>125571</v>
      </c>
      <c r="F664" s="87"/>
      <c r="G664" s="109">
        <f>1300+11084+341+1224.1+87796</f>
        <v>101745.1</v>
      </c>
    </row>
    <row r="665" spans="1:7" ht="12.75">
      <c r="A665" s="97"/>
      <c r="B665" s="65" t="s">
        <v>543</v>
      </c>
      <c r="C665" s="97"/>
      <c r="D665" s="97"/>
      <c r="E665" s="109">
        <v>83020.5</v>
      </c>
      <c r="F665" s="87"/>
      <c r="G665" s="109">
        <f>816+15000+230296.5</f>
        <v>246112.5</v>
      </c>
    </row>
    <row r="666" spans="1:7" ht="12.75">
      <c r="A666" s="97"/>
      <c r="B666" s="65" t="s">
        <v>536</v>
      </c>
      <c r="C666" s="97"/>
      <c r="D666" s="97"/>
      <c r="E666" s="109">
        <v>844</v>
      </c>
      <c r="F666" s="87"/>
      <c r="G666" s="109"/>
    </row>
    <row r="667" spans="1:7" ht="12.75">
      <c r="A667" s="97"/>
      <c r="B667" s="65" t="s">
        <v>177</v>
      </c>
      <c r="C667" s="97"/>
      <c r="D667" s="97"/>
      <c r="E667" s="109">
        <v>6811</v>
      </c>
      <c r="F667" s="87"/>
      <c r="G667" s="109">
        <v>6563</v>
      </c>
    </row>
    <row r="668" spans="1:7" ht="12.75">
      <c r="A668" s="97"/>
      <c r="B668" s="65"/>
      <c r="C668" s="97"/>
      <c r="D668" s="97"/>
      <c r="E668" s="109"/>
      <c r="F668" s="87"/>
      <c r="G668" s="109"/>
    </row>
    <row r="669" spans="1:7" ht="12.75">
      <c r="A669" s="97"/>
      <c r="B669" s="116" t="s">
        <v>627</v>
      </c>
      <c r="C669" s="97"/>
      <c r="D669" s="97"/>
      <c r="E669" s="109">
        <v>522498</v>
      </c>
      <c r="F669" s="87"/>
      <c r="G669" s="109"/>
    </row>
    <row r="670" spans="1:7" ht="12.75">
      <c r="A670" s="97"/>
      <c r="B670" s="65"/>
      <c r="C670" s="97"/>
      <c r="D670" s="97"/>
      <c r="E670" s="109"/>
      <c r="F670" s="87"/>
      <c r="G670" s="109"/>
    </row>
    <row r="671" spans="1:7" ht="12.75">
      <c r="A671" s="97"/>
      <c r="B671" s="65"/>
      <c r="C671" s="97"/>
      <c r="D671" s="97"/>
      <c r="E671" s="109"/>
      <c r="F671" s="87"/>
      <c r="G671" s="109"/>
    </row>
    <row r="672" spans="1:7" ht="12.75">
      <c r="A672" s="97"/>
      <c r="B672" s="116" t="s">
        <v>618</v>
      </c>
      <c r="C672" s="97"/>
      <c r="D672" s="97"/>
      <c r="E672" s="109"/>
      <c r="F672" s="87"/>
      <c r="G672" s="109"/>
    </row>
    <row r="673" spans="1:7" ht="12.75">
      <c r="A673" s="97"/>
      <c r="B673" s="65" t="s">
        <v>537</v>
      </c>
      <c r="C673" s="97"/>
      <c r="D673" s="97"/>
      <c r="E673" s="109">
        <v>31575</v>
      </c>
      <c r="F673" s="87"/>
      <c r="G673" s="109"/>
    </row>
    <row r="674" spans="1:7" ht="12.75">
      <c r="A674" s="97"/>
      <c r="B674" s="65" t="s">
        <v>538</v>
      </c>
      <c r="C674" s="97"/>
      <c r="D674" s="97"/>
      <c r="E674" s="109">
        <v>1065</v>
      </c>
      <c r="F674" s="87"/>
      <c r="G674" s="109"/>
    </row>
    <row r="675" spans="1:9" ht="12.75">
      <c r="A675" s="97"/>
      <c r="B675" s="65" t="s">
        <v>539</v>
      </c>
      <c r="C675" s="97"/>
      <c r="D675" s="97"/>
      <c r="E675" s="109">
        <v>31250</v>
      </c>
      <c r="F675" s="87"/>
      <c r="G675" s="109">
        <v>42079</v>
      </c>
      <c r="I675" s="27"/>
    </row>
    <row r="676" spans="1:7" ht="12.75">
      <c r="A676" s="97"/>
      <c r="B676" s="65" t="s">
        <v>545</v>
      </c>
      <c r="C676" s="97"/>
      <c r="D676" s="97"/>
      <c r="E676" s="109">
        <v>163500</v>
      </c>
      <c r="F676" s="87"/>
      <c r="G676" s="109">
        <v>210000</v>
      </c>
    </row>
    <row r="677" spans="2:7" ht="12.75">
      <c r="B677" s="65" t="s">
        <v>540</v>
      </c>
      <c r="C677" s="97"/>
      <c r="D677" s="97"/>
      <c r="E677" s="109">
        <v>118986</v>
      </c>
      <c r="F677" s="87"/>
      <c r="G677" s="109">
        <v>161028</v>
      </c>
    </row>
    <row r="678" spans="2:7" ht="12.75">
      <c r="B678" s="65" t="s">
        <v>541</v>
      </c>
      <c r="C678" s="97"/>
      <c r="D678" s="98" t="s">
        <v>590</v>
      </c>
      <c r="E678" s="109">
        <f>E596</f>
        <v>562808</v>
      </c>
      <c r="F678" s="87"/>
      <c r="G678" s="109"/>
    </row>
    <row r="679" spans="1:7" ht="12.75">
      <c r="A679" s="97"/>
      <c r="B679" s="65" t="s">
        <v>542</v>
      </c>
      <c r="C679" s="97"/>
      <c r="D679" s="98" t="s">
        <v>591</v>
      </c>
      <c r="E679" s="109">
        <f>E622</f>
        <v>182721.5</v>
      </c>
      <c r="F679" s="87"/>
      <c r="G679" s="109"/>
    </row>
    <row r="680" spans="1:7" ht="12.75">
      <c r="A680" s="97"/>
      <c r="B680" s="65" t="s">
        <v>787</v>
      </c>
      <c r="C680" s="97"/>
      <c r="D680" s="98" t="s">
        <v>793</v>
      </c>
      <c r="E680" s="109">
        <f>E633</f>
        <v>39007</v>
      </c>
      <c r="F680" s="87"/>
      <c r="G680" s="109"/>
    </row>
    <row r="681" spans="1:7" ht="12.75">
      <c r="A681" s="97"/>
      <c r="B681" s="65" t="s">
        <v>544</v>
      </c>
      <c r="C681" s="97"/>
      <c r="D681" s="97"/>
      <c r="E681" s="109">
        <v>49500</v>
      </c>
      <c r="F681" s="87"/>
      <c r="G681" s="109">
        <v>4480</v>
      </c>
    </row>
    <row r="682" spans="1:7" ht="12.75">
      <c r="A682" s="97"/>
      <c r="B682" s="65" t="s">
        <v>546</v>
      </c>
      <c r="C682" s="97"/>
      <c r="D682" s="97"/>
      <c r="E682" s="109">
        <v>46000</v>
      </c>
      <c r="F682" s="87"/>
      <c r="G682" s="109"/>
    </row>
    <row r="683" spans="1:7" ht="12.75">
      <c r="A683" s="97"/>
      <c r="B683" s="65" t="s">
        <v>547</v>
      </c>
      <c r="C683" s="97"/>
      <c r="D683" s="97"/>
      <c r="E683" s="109">
        <v>12000</v>
      </c>
      <c r="F683" s="87"/>
      <c r="G683" s="109"/>
    </row>
    <row r="684" spans="1:7" ht="12.75">
      <c r="A684" s="97"/>
      <c r="B684" s="65" t="s">
        <v>548</v>
      </c>
      <c r="C684" s="97"/>
      <c r="D684" s="97"/>
      <c r="E684" s="109">
        <v>3000</v>
      </c>
      <c r="F684" s="87"/>
      <c r="G684" s="109"/>
    </row>
    <row r="685" spans="1:7" ht="12.75">
      <c r="A685" s="97"/>
      <c r="B685" s="65" t="s">
        <v>549</v>
      </c>
      <c r="C685" s="97"/>
      <c r="D685" s="97"/>
      <c r="E685" s="109">
        <v>13470.5</v>
      </c>
      <c r="F685" s="87"/>
      <c r="G685" s="109"/>
    </row>
    <row r="686" spans="1:7" ht="12.75">
      <c r="A686" s="97"/>
      <c r="B686" s="65" t="s">
        <v>550</v>
      </c>
      <c r="C686" s="97"/>
      <c r="D686" s="97"/>
      <c r="E686" s="109">
        <v>2000</v>
      </c>
      <c r="F686" s="87"/>
      <c r="G686" s="109"/>
    </row>
    <row r="687" spans="1:7" ht="12.75">
      <c r="A687" s="97"/>
      <c r="B687" s="65" t="s">
        <v>344</v>
      </c>
      <c r="C687" s="97"/>
      <c r="D687" s="97"/>
      <c r="E687" s="109">
        <v>55564</v>
      </c>
      <c r="F687" s="87"/>
      <c r="G687" s="109">
        <v>3860</v>
      </c>
    </row>
    <row r="688" spans="1:7" ht="12.75">
      <c r="A688" s="97"/>
      <c r="B688" s="65" t="s">
        <v>551</v>
      </c>
      <c r="C688" s="97"/>
      <c r="D688" s="97"/>
      <c r="E688" s="109">
        <v>10750</v>
      </c>
      <c r="F688" s="87"/>
      <c r="G688" s="109"/>
    </row>
    <row r="689" spans="1:7" ht="12.75">
      <c r="A689" s="97"/>
      <c r="B689" s="65" t="s">
        <v>552</v>
      </c>
      <c r="C689" s="97"/>
      <c r="D689" s="97"/>
      <c r="E689" s="109">
        <v>3150</v>
      </c>
      <c r="F689" s="87"/>
      <c r="G689" s="109"/>
    </row>
    <row r="690" spans="1:7" ht="12.75">
      <c r="A690" s="97"/>
      <c r="B690" s="65" t="s">
        <v>72</v>
      </c>
      <c r="C690" s="97"/>
      <c r="D690" s="97"/>
      <c r="E690" s="109">
        <v>905594</v>
      </c>
      <c r="F690" s="87"/>
      <c r="G690" s="109">
        <f>155905+1260378+15000</f>
        <v>1431283</v>
      </c>
    </row>
    <row r="691" spans="1:7" ht="12.75">
      <c r="A691" s="97"/>
      <c r="B691" s="65"/>
      <c r="C691" s="97"/>
      <c r="D691" s="97"/>
      <c r="E691" s="109"/>
      <c r="F691" s="87"/>
      <c r="G691" s="97"/>
    </row>
    <row r="692" spans="1:7" ht="12.75">
      <c r="A692" s="97"/>
      <c r="B692" s="131"/>
      <c r="C692" s="97"/>
      <c r="D692" s="97"/>
      <c r="E692" s="109"/>
      <c r="F692" s="87"/>
      <c r="G692" s="97"/>
    </row>
    <row r="693" spans="1:7" ht="13.5" thickBot="1">
      <c r="A693" s="97"/>
      <c r="B693" s="131"/>
      <c r="C693" s="97"/>
      <c r="D693" s="97"/>
      <c r="E693" s="61">
        <f>SUM(E638:E692)</f>
        <v>3634142.7800000003</v>
      </c>
      <c r="F693" s="87"/>
      <c r="G693" s="61">
        <f>SUM(G637:G692)</f>
        <v>2737926.6</v>
      </c>
    </row>
    <row r="694" spans="1:7" ht="13.5" thickTop="1">
      <c r="A694" s="97"/>
      <c r="B694" s="131"/>
      <c r="C694" s="97"/>
      <c r="D694" s="97"/>
      <c r="E694" s="109"/>
      <c r="F694" s="87"/>
      <c r="G694" s="97"/>
    </row>
    <row r="695" spans="1:7" ht="12.75">
      <c r="A695" s="97"/>
      <c r="B695" s="111" t="s">
        <v>569</v>
      </c>
      <c r="C695" s="97"/>
      <c r="D695" s="87"/>
      <c r="E695" s="87"/>
      <c r="F695" s="87"/>
      <c r="G695" s="87"/>
    </row>
    <row r="696" spans="1:7" ht="12.75">
      <c r="A696" s="97"/>
      <c r="B696" s="43" t="s">
        <v>554</v>
      </c>
      <c r="C696" s="94"/>
      <c r="D696" s="87"/>
      <c r="E696" s="87"/>
      <c r="F696" s="87"/>
      <c r="G696" s="87"/>
    </row>
    <row r="697" spans="1:7" ht="12.75">
      <c r="A697" s="97"/>
      <c r="B697" s="117" t="s">
        <v>617</v>
      </c>
      <c r="C697" s="94"/>
      <c r="D697" s="97"/>
      <c r="E697" s="97"/>
      <c r="F697" s="87"/>
      <c r="G697" s="97"/>
    </row>
    <row r="698" spans="2:7" ht="12.75">
      <c r="B698" s="131" t="s">
        <v>555</v>
      </c>
      <c r="C698" s="97"/>
      <c r="D698" s="97" t="s">
        <v>620</v>
      </c>
      <c r="E698" s="109">
        <v>16500</v>
      </c>
      <c r="F698" s="87"/>
      <c r="G698" s="97">
        <v>15000</v>
      </c>
    </row>
    <row r="699" spans="2:7" ht="12.75">
      <c r="B699" s="65" t="s">
        <v>499</v>
      </c>
      <c r="C699" s="97"/>
      <c r="D699" s="97"/>
      <c r="E699" s="109">
        <v>20570</v>
      </c>
      <c r="F699" s="87"/>
      <c r="G699" s="97"/>
    </row>
    <row r="700" spans="1:7" ht="12.75">
      <c r="A700" s="97"/>
      <c r="B700" s="65" t="s">
        <v>68</v>
      </c>
      <c r="C700" s="97"/>
      <c r="D700" s="97"/>
      <c r="E700" s="109">
        <f>2103+30</f>
        <v>2133</v>
      </c>
      <c r="F700" s="87"/>
      <c r="G700" s="97"/>
    </row>
    <row r="701" spans="1:7" ht="12.75">
      <c r="A701" s="97"/>
      <c r="B701" s="65" t="s">
        <v>29</v>
      </c>
      <c r="C701" s="97"/>
      <c r="D701" s="97"/>
      <c r="E701" s="109">
        <v>215</v>
      </c>
      <c r="F701" s="87"/>
      <c r="G701" s="97"/>
    </row>
    <row r="702" spans="1:7" ht="12.75">
      <c r="A702" s="97"/>
      <c r="B702" s="65" t="s">
        <v>556</v>
      </c>
      <c r="C702" s="97"/>
      <c r="D702" s="97"/>
      <c r="E702" s="109">
        <v>19744</v>
      </c>
      <c r="F702" s="87"/>
      <c r="G702" s="97">
        <v>9813.5</v>
      </c>
    </row>
    <row r="703" spans="1:7" ht="12.75">
      <c r="A703" s="97"/>
      <c r="B703" s="65" t="s">
        <v>557</v>
      </c>
      <c r="C703" s="97"/>
      <c r="D703" s="97"/>
      <c r="E703" s="109">
        <v>5000</v>
      </c>
      <c r="F703" s="87"/>
      <c r="G703" s="97"/>
    </row>
    <row r="704" spans="1:7" ht="12.75">
      <c r="A704" s="97"/>
      <c r="B704" s="65" t="s">
        <v>30</v>
      </c>
      <c r="C704" s="97"/>
      <c r="D704" s="97"/>
      <c r="E704" s="109">
        <v>4080</v>
      </c>
      <c r="F704" s="87"/>
      <c r="G704" s="97"/>
    </row>
    <row r="705" spans="1:7" ht="12.75">
      <c r="A705" s="97"/>
      <c r="B705" s="65"/>
      <c r="C705" s="97"/>
      <c r="D705" s="97"/>
      <c r="E705" s="109"/>
      <c r="F705" s="87"/>
      <c r="G705" s="97"/>
    </row>
    <row r="706" spans="1:7" ht="12.75">
      <c r="A706" s="97"/>
      <c r="B706" s="116" t="s">
        <v>311</v>
      </c>
      <c r="C706" s="97"/>
      <c r="D706" s="97"/>
      <c r="E706" s="109"/>
      <c r="F706" s="87"/>
      <c r="G706" s="97"/>
    </row>
    <row r="707" spans="1:7" ht="12.75">
      <c r="A707" s="97"/>
      <c r="B707" s="65" t="s">
        <v>484</v>
      </c>
      <c r="C707" s="97"/>
      <c r="D707" s="97"/>
      <c r="E707" s="109">
        <v>28014.75</v>
      </c>
      <c r="F707" s="87"/>
      <c r="G707" s="97"/>
    </row>
    <row r="708" spans="1:7" ht="12.75">
      <c r="A708" s="97"/>
      <c r="B708" s="65" t="s">
        <v>485</v>
      </c>
      <c r="C708" s="97"/>
      <c r="D708" s="97"/>
      <c r="E708" s="109">
        <v>5414</v>
      </c>
      <c r="F708" s="87"/>
      <c r="G708" s="97"/>
    </row>
    <row r="709" spans="1:7" ht="12.75">
      <c r="A709" s="97"/>
      <c r="B709" s="65"/>
      <c r="C709" s="97"/>
      <c r="D709" s="97"/>
      <c r="E709" s="109"/>
      <c r="F709" s="87"/>
      <c r="G709" s="97"/>
    </row>
    <row r="710" spans="1:7" ht="12.75">
      <c r="A710" s="97"/>
      <c r="B710" s="116" t="s">
        <v>622</v>
      </c>
      <c r="C710" s="97"/>
      <c r="D710" s="97"/>
      <c r="E710" s="109"/>
      <c r="F710" s="87"/>
      <c r="G710" s="97"/>
    </row>
    <row r="711" spans="1:7" ht="12.75">
      <c r="A711" s="97"/>
      <c r="B711" s="65" t="s">
        <v>621</v>
      </c>
      <c r="C711" s="97"/>
      <c r="D711" s="97"/>
      <c r="E711" s="109">
        <v>6809</v>
      </c>
      <c r="F711" s="87"/>
      <c r="G711" s="97"/>
    </row>
    <row r="712" spans="1:7" ht="12.75">
      <c r="A712" s="97"/>
      <c r="B712" s="65" t="s">
        <v>158</v>
      </c>
      <c r="C712" s="97"/>
      <c r="D712" s="97"/>
      <c r="E712" s="109"/>
      <c r="F712" s="87"/>
      <c r="G712" s="97">
        <v>18132</v>
      </c>
    </row>
    <row r="713" spans="1:7" ht="12.75">
      <c r="A713" s="97"/>
      <c r="B713" s="65" t="s">
        <v>558</v>
      </c>
      <c r="C713" s="97"/>
      <c r="D713" s="97"/>
      <c r="E713" s="109">
        <v>201</v>
      </c>
      <c r="F713" s="87"/>
      <c r="G713" s="97"/>
    </row>
    <row r="714" spans="1:7" ht="12.75">
      <c r="A714" s="97"/>
      <c r="B714" s="65" t="s">
        <v>559</v>
      </c>
      <c r="C714" s="97"/>
      <c r="D714" s="97"/>
      <c r="E714" s="109">
        <v>478</v>
      </c>
      <c r="F714" s="87"/>
      <c r="G714" s="97">
        <v>1354</v>
      </c>
    </row>
    <row r="715" spans="1:7" ht="12.75">
      <c r="A715" s="97"/>
      <c r="B715" s="65" t="s">
        <v>560</v>
      </c>
      <c r="C715" s="97"/>
      <c r="D715" s="97"/>
      <c r="E715" s="109">
        <v>18347</v>
      </c>
      <c r="F715" s="87"/>
      <c r="G715" s="97">
        <v>17800</v>
      </c>
    </row>
    <row r="716" spans="1:7" ht="12.75">
      <c r="A716" s="97"/>
      <c r="B716" s="65"/>
      <c r="C716" s="97"/>
      <c r="D716" s="97"/>
      <c r="E716" s="109"/>
      <c r="F716" s="87"/>
      <c r="G716" s="97"/>
    </row>
    <row r="717" spans="1:7" ht="12.75">
      <c r="A717" s="97"/>
      <c r="B717" s="116" t="s">
        <v>623</v>
      </c>
      <c r="C717" s="97"/>
      <c r="D717" s="97"/>
      <c r="E717" s="109"/>
      <c r="F717" s="87"/>
      <c r="G717" s="97"/>
    </row>
    <row r="718" spans="1:7" ht="12.75">
      <c r="A718" s="97"/>
      <c r="B718" s="65" t="s">
        <v>561</v>
      </c>
      <c r="C718" s="97"/>
      <c r="D718" s="97"/>
      <c r="E718" s="109">
        <v>1800</v>
      </c>
      <c r="F718" s="87"/>
      <c r="G718" s="97"/>
    </row>
    <row r="719" spans="1:7" ht="12.75">
      <c r="A719" s="97"/>
      <c r="B719" s="65" t="s">
        <v>114</v>
      </c>
      <c r="C719" s="97"/>
      <c r="D719" s="97"/>
      <c r="E719" s="109">
        <v>467480</v>
      </c>
      <c r="F719" s="87"/>
      <c r="G719" s="109">
        <f>609648.8</f>
        <v>609648.8</v>
      </c>
    </row>
    <row r="720" spans="1:7" ht="12.75">
      <c r="A720" s="97"/>
      <c r="B720" s="65" t="s">
        <v>562</v>
      </c>
      <c r="C720" s="97"/>
      <c r="D720" s="97"/>
      <c r="E720" s="109">
        <v>1709</v>
      </c>
      <c r="F720" s="87"/>
      <c r="G720" s="97"/>
    </row>
    <row r="721" spans="1:7" ht="12.75">
      <c r="A721" s="97"/>
      <c r="B721" s="65" t="s">
        <v>158</v>
      </c>
      <c r="C721" s="97"/>
      <c r="D721" s="97"/>
      <c r="E721" s="109"/>
      <c r="F721" s="87"/>
      <c r="G721" s="97">
        <v>18132</v>
      </c>
    </row>
    <row r="722" spans="1:7" ht="12.75">
      <c r="A722" s="97"/>
      <c r="B722" s="65" t="s">
        <v>563</v>
      </c>
      <c r="C722" s="97"/>
      <c r="D722" s="97"/>
      <c r="E722" s="109">
        <v>49826</v>
      </c>
      <c r="F722" s="87"/>
      <c r="G722" s="97">
        <v>16330</v>
      </c>
    </row>
    <row r="723" spans="1:7" ht="12.75">
      <c r="A723" s="97"/>
      <c r="B723" s="65" t="s">
        <v>564</v>
      </c>
      <c r="C723" s="97"/>
      <c r="D723" s="97"/>
      <c r="E723" s="109">
        <v>49463</v>
      </c>
      <c r="F723" s="87"/>
      <c r="G723" s="97">
        <v>59929.75</v>
      </c>
    </row>
    <row r="724" spans="1:7" ht="12.75">
      <c r="A724" s="97"/>
      <c r="B724" s="65" t="s">
        <v>565</v>
      </c>
      <c r="C724" s="97"/>
      <c r="D724" s="97"/>
      <c r="E724" s="109">
        <v>2985</v>
      </c>
      <c r="F724" s="87"/>
      <c r="G724" s="97"/>
    </row>
    <row r="725" spans="1:7" ht="12.75">
      <c r="A725" s="97"/>
      <c r="B725" s="65"/>
      <c r="C725" s="97"/>
      <c r="D725" s="97"/>
      <c r="E725" s="109"/>
      <c r="F725" s="87"/>
      <c r="G725" s="97"/>
    </row>
    <row r="726" spans="1:7" ht="12.75">
      <c r="A726" s="97"/>
      <c r="B726" s="65"/>
      <c r="C726" s="97"/>
      <c r="D726" s="97"/>
      <c r="E726" s="109"/>
      <c r="F726" s="87"/>
      <c r="G726" s="97"/>
    </row>
    <row r="727" spans="1:7" ht="12.75">
      <c r="A727" s="97"/>
      <c r="B727" s="65"/>
      <c r="C727" s="97"/>
      <c r="D727" s="97"/>
      <c r="E727" s="109"/>
      <c r="F727" s="87"/>
      <c r="G727" s="97"/>
    </row>
    <row r="728" spans="1:7" ht="12.75">
      <c r="A728" s="97"/>
      <c r="B728" s="116" t="s">
        <v>624</v>
      </c>
      <c r="C728" s="97"/>
      <c r="D728" s="97"/>
      <c r="E728" s="109"/>
      <c r="F728" s="87"/>
      <c r="G728" s="97"/>
    </row>
    <row r="729" spans="1:7" ht="12.75">
      <c r="A729" s="97"/>
      <c r="B729" s="65" t="s">
        <v>164</v>
      </c>
      <c r="C729" s="97"/>
      <c r="D729" s="97"/>
      <c r="E729" s="109">
        <v>33730</v>
      </c>
      <c r="F729" s="87"/>
      <c r="G729" s="97">
        <v>23564</v>
      </c>
    </row>
    <row r="730" spans="1:7" ht="12.75">
      <c r="A730" s="97"/>
      <c r="B730" s="65" t="s">
        <v>157</v>
      </c>
      <c r="C730" s="97"/>
      <c r="D730" s="97"/>
      <c r="E730" s="109">
        <f>15136+310</f>
        <v>15446</v>
      </c>
      <c r="F730" s="87"/>
      <c r="G730" s="97"/>
    </row>
    <row r="731" spans="1:7" ht="12.75">
      <c r="A731" s="97"/>
      <c r="B731" s="65" t="s">
        <v>159</v>
      </c>
      <c r="C731" s="97"/>
      <c r="D731" s="97"/>
      <c r="E731" s="109">
        <v>680</v>
      </c>
      <c r="F731" s="87"/>
      <c r="G731" s="97"/>
    </row>
    <row r="732" spans="2:7" ht="12.75">
      <c r="B732" s="65"/>
      <c r="C732" s="97"/>
      <c r="D732" s="97"/>
      <c r="E732" s="109"/>
      <c r="F732" s="87"/>
      <c r="G732" s="97"/>
    </row>
    <row r="733" spans="1:7" ht="12.75">
      <c r="A733" s="97"/>
      <c r="B733" s="65"/>
      <c r="C733" s="97"/>
      <c r="D733" s="97"/>
      <c r="E733" s="109"/>
      <c r="F733" s="87"/>
      <c r="G733" s="97"/>
    </row>
    <row r="734" spans="1:7" ht="12.75">
      <c r="A734" s="97"/>
      <c r="B734" s="65"/>
      <c r="C734" s="97"/>
      <c r="D734" s="97"/>
      <c r="E734" s="109"/>
      <c r="F734" s="87"/>
      <c r="G734" s="97"/>
    </row>
    <row r="735" spans="1:7" ht="12.75">
      <c r="A735" s="97"/>
      <c r="B735" s="116" t="s">
        <v>625</v>
      </c>
      <c r="C735" s="97"/>
      <c r="D735" s="97"/>
      <c r="E735" s="109"/>
      <c r="F735" s="87"/>
      <c r="G735" s="97"/>
    </row>
    <row r="736" spans="1:7" ht="12.75">
      <c r="A736" s="97"/>
      <c r="B736" s="65" t="s">
        <v>168</v>
      </c>
      <c r="C736" s="97"/>
      <c r="D736" s="97"/>
      <c r="E736" s="109">
        <v>13348</v>
      </c>
      <c r="F736" s="87"/>
      <c r="G736" s="97">
        <v>3671</v>
      </c>
    </row>
    <row r="737" spans="1:7" ht="12.75">
      <c r="A737" s="97"/>
      <c r="B737" s="65" t="s">
        <v>454</v>
      </c>
      <c r="C737" s="97"/>
      <c r="D737" s="97"/>
      <c r="E737" s="109">
        <v>3421</v>
      </c>
      <c r="F737" s="87"/>
      <c r="G737" s="97"/>
    </row>
    <row r="738" spans="1:7" ht="12.75">
      <c r="A738" s="97"/>
      <c r="B738" s="65" t="s">
        <v>478</v>
      </c>
      <c r="C738" s="97"/>
      <c r="D738" s="97"/>
      <c r="E738" s="109">
        <v>1221</v>
      </c>
      <c r="F738" s="87"/>
      <c r="G738" s="97"/>
    </row>
    <row r="739" spans="1:7" ht="12.75">
      <c r="A739" s="97"/>
      <c r="B739" s="65"/>
      <c r="C739" s="97"/>
      <c r="D739" s="97"/>
      <c r="E739" s="109"/>
      <c r="F739" s="87"/>
      <c r="G739" s="97"/>
    </row>
    <row r="740" spans="1:7" ht="12.75">
      <c r="A740" s="97"/>
      <c r="B740" s="116" t="s">
        <v>619</v>
      </c>
      <c r="C740" s="97"/>
      <c r="D740" s="97"/>
      <c r="E740" s="109"/>
      <c r="F740" s="87"/>
      <c r="G740" s="97"/>
    </row>
    <row r="741" spans="1:7" ht="12.75">
      <c r="A741" s="97"/>
      <c r="B741" s="65" t="s">
        <v>346</v>
      </c>
      <c r="C741" s="97"/>
      <c r="D741" s="97"/>
      <c r="E741" s="109">
        <f>2586+12380+3000</f>
        <v>17966</v>
      </c>
      <c r="F741" s="87"/>
      <c r="G741" s="97"/>
    </row>
    <row r="742" spans="1:7" ht="12.75">
      <c r="A742" s="97"/>
      <c r="B742" s="65" t="s">
        <v>566</v>
      </c>
      <c r="C742" s="97"/>
      <c r="D742" s="97"/>
      <c r="E742" s="109">
        <v>51101</v>
      </c>
      <c r="F742" s="87"/>
      <c r="G742" s="97"/>
    </row>
    <row r="743" spans="1:7" ht="12.75">
      <c r="A743" s="97"/>
      <c r="B743" s="65" t="s">
        <v>567</v>
      </c>
      <c r="C743" s="97"/>
      <c r="D743" s="97"/>
      <c r="E743" s="109">
        <v>61015</v>
      </c>
      <c r="F743" s="87"/>
      <c r="G743" s="97"/>
    </row>
    <row r="744" spans="1:7" ht="12.75">
      <c r="A744" s="97"/>
      <c r="B744" s="65" t="s">
        <v>568</v>
      </c>
      <c r="C744" s="97"/>
      <c r="D744" s="97"/>
      <c r="E744" s="109">
        <v>11250</v>
      </c>
      <c r="F744" s="87"/>
      <c r="G744" s="97">
        <v>10000</v>
      </c>
    </row>
    <row r="745" spans="1:7" ht="12.75">
      <c r="A745" s="97"/>
      <c r="B745" s="65" t="s">
        <v>72</v>
      </c>
      <c r="C745" s="97"/>
      <c r="D745" s="97"/>
      <c r="E745" s="109">
        <f>57900+15825+125734</f>
        <v>199459</v>
      </c>
      <c r="F745" s="87"/>
      <c r="G745" s="97"/>
    </row>
    <row r="746" spans="1:7" ht="12.75">
      <c r="A746" s="97"/>
      <c r="B746" s="65" t="s">
        <v>73</v>
      </c>
      <c r="C746" s="97"/>
      <c r="D746" s="97"/>
      <c r="E746" s="109">
        <v>15120</v>
      </c>
      <c r="F746" s="87"/>
      <c r="G746" s="97">
        <v>18490</v>
      </c>
    </row>
    <row r="747" spans="1:7" ht="12.75">
      <c r="A747" s="97"/>
      <c r="B747" s="131"/>
      <c r="C747" s="97"/>
      <c r="D747" s="97"/>
      <c r="E747" s="109"/>
      <c r="F747" s="87"/>
      <c r="G747" s="97"/>
    </row>
    <row r="748" spans="2:7" ht="13.5" thickBot="1">
      <c r="B748" s="131"/>
      <c r="C748" s="97"/>
      <c r="D748" s="97"/>
      <c r="E748" s="61">
        <f>SUM(E698:E747)</f>
        <v>1124525.75</v>
      </c>
      <c r="F748" s="87"/>
      <c r="G748" s="61">
        <f>SUM(G698:G747)</f>
        <v>821865.05</v>
      </c>
    </row>
    <row r="749" spans="2:7" ht="13.5" thickTop="1">
      <c r="B749" s="131"/>
      <c r="C749" s="97"/>
      <c r="D749" s="97"/>
      <c r="E749" s="109"/>
      <c r="F749" s="87"/>
      <c r="G749" s="97"/>
    </row>
    <row r="750" spans="1:7" ht="12.75">
      <c r="A750" s="97"/>
      <c r="B750" s="111" t="s">
        <v>572</v>
      </c>
      <c r="C750" s="97"/>
      <c r="D750" s="87"/>
      <c r="E750" s="87"/>
      <c r="F750" s="87"/>
      <c r="G750" s="87"/>
    </row>
    <row r="751" spans="1:7" ht="12.75">
      <c r="A751" s="97"/>
      <c r="B751" s="43" t="s">
        <v>570</v>
      </c>
      <c r="C751" s="94"/>
      <c r="D751" s="87"/>
      <c r="E751" s="87"/>
      <c r="F751" s="87"/>
      <c r="G751" s="87"/>
    </row>
    <row r="752" spans="1:7" ht="12.75">
      <c r="A752" s="97"/>
      <c r="B752" s="117" t="s">
        <v>617</v>
      </c>
      <c r="C752" s="94"/>
      <c r="D752" s="97"/>
      <c r="E752" s="97"/>
      <c r="F752" s="87"/>
      <c r="G752" s="97"/>
    </row>
    <row r="753" spans="1:7" ht="12.75">
      <c r="A753" s="97"/>
      <c r="B753" s="131" t="s">
        <v>571</v>
      </c>
      <c r="C753" s="97"/>
      <c r="D753" s="97"/>
      <c r="E753" s="109">
        <v>1000</v>
      </c>
      <c r="F753" s="87"/>
      <c r="G753" s="97"/>
    </row>
    <row r="754" spans="1:7" ht="12.75">
      <c r="A754" s="97"/>
      <c r="B754" s="65" t="s">
        <v>532</v>
      </c>
      <c r="C754" s="97"/>
      <c r="D754" s="97"/>
      <c r="E754" s="109">
        <v>140</v>
      </c>
      <c r="F754" s="87"/>
      <c r="G754" s="97">
        <v>308</v>
      </c>
    </row>
    <row r="755" spans="1:7" ht="12.75">
      <c r="A755" s="97"/>
      <c r="B755" s="65" t="s">
        <v>29</v>
      </c>
      <c r="C755" s="97"/>
      <c r="D755" s="97"/>
      <c r="E755" s="109">
        <v>325</v>
      </c>
      <c r="F755" s="87"/>
      <c r="G755" s="97"/>
    </row>
    <row r="756" spans="1:7" ht="12.75">
      <c r="A756" s="97"/>
      <c r="B756" s="65" t="s">
        <v>30</v>
      </c>
      <c r="C756" s="97"/>
      <c r="D756" s="97"/>
      <c r="E756" s="109">
        <v>3179.5</v>
      </c>
      <c r="F756" s="87"/>
      <c r="G756" s="97"/>
    </row>
    <row r="757" spans="1:7" ht="12.75">
      <c r="A757" s="97"/>
      <c r="B757" s="65"/>
      <c r="C757" s="97"/>
      <c r="D757" s="97"/>
      <c r="E757" s="109"/>
      <c r="F757" s="87"/>
      <c r="G757" s="97"/>
    </row>
    <row r="758" spans="1:7" ht="12.75">
      <c r="A758" s="97"/>
      <c r="B758" s="116" t="s">
        <v>618</v>
      </c>
      <c r="C758" s="97"/>
      <c r="D758" s="97"/>
      <c r="E758" s="109"/>
      <c r="F758" s="87"/>
      <c r="G758" s="97"/>
    </row>
    <row r="759" spans="1:9" ht="12.75">
      <c r="A759" s="97"/>
      <c r="B759" s="65" t="s">
        <v>164</v>
      </c>
      <c r="C759" s="97"/>
      <c r="D759" s="97"/>
      <c r="E759" s="109">
        <v>40000</v>
      </c>
      <c r="F759" s="87"/>
      <c r="G759" s="97">
        <v>30280</v>
      </c>
      <c r="I759" s="27"/>
    </row>
    <row r="760" spans="1:7" ht="12.75">
      <c r="A760" s="97"/>
      <c r="B760" s="65" t="s">
        <v>157</v>
      </c>
      <c r="C760" s="97"/>
      <c r="D760" s="97"/>
      <c r="E760" s="109">
        <v>1780</v>
      </c>
      <c r="F760" s="87"/>
      <c r="G760" s="97"/>
    </row>
    <row r="761" spans="1:7" ht="12.75">
      <c r="A761" s="97"/>
      <c r="B761" s="65" t="s">
        <v>159</v>
      </c>
      <c r="C761" s="97"/>
      <c r="D761" s="97"/>
      <c r="E761" s="109">
        <v>6200</v>
      </c>
      <c r="F761" s="87"/>
      <c r="G761" s="97">
        <v>6245</v>
      </c>
    </row>
    <row r="762" spans="1:7" ht="12.75">
      <c r="A762" s="97"/>
      <c r="B762" s="65" t="s">
        <v>158</v>
      </c>
      <c r="C762" s="97"/>
      <c r="D762" s="97"/>
      <c r="E762" s="109"/>
      <c r="F762" s="87"/>
      <c r="G762" s="97">
        <v>3089</v>
      </c>
    </row>
    <row r="763" spans="1:7" ht="12.75">
      <c r="A763" s="97"/>
      <c r="B763" s="65" t="s">
        <v>563</v>
      </c>
      <c r="C763" s="97"/>
      <c r="D763" s="97"/>
      <c r="E763" s="109">
        <v>94800</v>
      </c>
      <c r="F763" s="87"/>
      <c r="G763" s="97"/>
    </row>
    <row r="764" spans="1:7" ht="12.75">
      <c r="A764" s="97"/>
      <c r="B764" s="65" t="s">
        <v>168</v>
      </c>
      <c r="C764" s="97"/>
      <c r="D764" s="97"/>
      <c r="E764" s="109">
        <v>162</v>
      </c>
      <c r="F764" s="87"/>
      <c r="G764" s="97"/>
    </row>
    <row r="765" spans="1:7" ht="12.75">
      <c r="A765" s="97"/>
      <c r="B765" s="65" t="s">
        <v>478</v>
      </c>
      <c r="C765" s="97"/>
      <c r="D765" s="97"/>
      <c r="E765" s="109">
        <v>457.5</v>
      </c>
      <c r="F765" s="87"/>
      <c r="G765" s="97"/>
    </row>
    <row r="766" spans="1:7" ht="12.75">
      <c r="A766" s="97"/>
      <c r="B766" s="65" t="s">
        <v>346</v>
      </c>
      <c r="C766" s="97"/>
      <c r="D766" s="97"/>
      <c r="E766" s="109">
        <v>7500</v>
      </c>
      <c r="F766" s="87"/>
      <c r="G766" s="97"/>
    </row>
    <row r="767" spans="1:7" ht="12.75">
      <c r="A767" s="97"/>
      <c r="B767" s="131"/>
      <c r="C767" s="97"/>
      <c r="D767" s="97"/>
      <c r="E767" s="109"/>
      <c r="F767" s="87"/>
      <c r="G767" s="97"/>
    </row>
    <row r="768" spans="1:7" ht="13.5" thickBot="1">
      <c r="A768" s="97"/>
      <c r="B768" s="131"/>
      <c r="C768" s="97"/>
      <c r="D768" s="97"/>
      <c r="E768" s="61">
        <f>SUM(E753:E767)</f>
        <v>155544</v>
      </c>
      <c r="F768" s="87"/>
      <c r="G768" s="61">
        <f>SUM(G753:G767)</f>
        <v>39922</v>
      </c>
    </row>
    <row r="769" spans="1:7" ht="13.5" thickTop="1">
      <c r="A769" s="97"/>
      <c r="B769" s="111" t="s">
        <v>578</v>
      </c>
      <c r="C769" s="97"/>
      <c r="D769" s="87"/>
      <c r="E769" s="87"/>
      <c r="F769" s="87"/>
      <c r="G769" s="87"/>
    </row>
    <row r="770" spans="2:7" ht="12.75">
      <c r="B770" s="43" t="s">
        <v>573</v>
      </c>
      <c r="C770" s="94"/>
      <c r="D770" s="87"/>
      <c r="E770" s="87"/>
      <c r="F770" s="87"/>
      <c r="G770" s="87"/>
    </row>
    <row r="771" spans="2:7" ht="12.75">
      <c r="B771" s="117" t="s">
        <v>617</v>
      </c>
      <c r="C771" s="94"/>
      <c r="D771" s="97"/>
      <c r="E771" s="97"/>
      <c r="F771" s="87"/>
      <c r="G771" s="97"/>
    </row>
    <row r="772" spans="1:7" ht="12.75">
      <c r="A772" s="97"/>
      <c r="B772" s="131" t="s">
        <v>451</v>
      </c>
      <c r="C772" s="97"/>
      <c r="D772" s="97"/>
      <c r="E772" s="109">
        <v>20482</v>
      </c>
      <c r="F772" s="87"/>
      <c r="G772" s="97"/>
    </row>
    <row r="773" spans="1:7" ht="12.75">
      <c r="A773" s="97"/>
      <c r="B773" s="65" t="s">
        <v>346</v>
      </c>
      <c r="C773" s="97"/>
      <c r="D773" s="97"/>
      <c r="E773" s="109">
        <v>880</v>
      </c>
      <c r="F773" s="87"/>
      <c r="G773" s="97"/>
    </row>
    <row r="774" spans="1:7" ht="12.75">
      <c r="A774" s="97"/>
      <c r="B774" s="65" t="s">
        <v>499</v>
      </c>
      <c r="C774" s="97"/>
      <c r="D774" s="97"/>
      <c r="E774" s="109">
        <v>10960</v>
      </c>
      <c r="F774" s="87"/>
      <c r="G774" s="97"/>
    </row>
    <row r="775" spans="1:7" ht="12.75">
      <c r="A775" s="97"/>
      <c r="B775" s="65" t="s">
        <v>68</v>
      </c>
      <c r="C775" s="97"/>
      <c r="D775" s="97"/>
      <c r="E775" s="109">
        <v>6185</v>
      </c>
      <c r="F775" s="87"/>
      <c r="G775" s="97"/>
    </row>
    <row r="776" spans="1:7" ht="12.75">
      <c r="A776" s="97"/>
      <c r="B776" s="65" t="s">
        <v>29</v>
      </c>
      <c r="C776" s="97"/>
      <c r="D776" s="97"/>
      <c r="E776" s="109">
        <v>243</v>
      </c>
      <c r="F776" s="87"/>
      <c r="G776" s="97"/>
    </row>
    <row r="777" spans="1:7" ht="12.75">
      <c r="A777" s="97"/>
      <c r="B777" s="65" t="s">
        <v>178</v>
      </c>
      <c r="C777" s="97"/>
      <c r="D777" s="97"/>
      <c r="E777" s="109">
        <v>675</v>
      </c>
      <c r="F777" s="87"/>
      <c r="G777" s="97"/>
    </row>
    <row r="778" spans="1:7" ht="12.75">
      <c r="A778" s="97"/>
      <c r="B778" s="65" t="s">
        <v>556</v>
      </c>
      <c r="C778" s="97"/>
      <c r="D778" s="97"/>
      <c r="E778" s="109">
        <v>7145</v>
      </c>
      <c r="F778" s="87"/>
      <c r="G778" s="97">
        <v>5150</v>
      </c>
    </row>
    <row r="779" spans="1:7" ht="12.75">
      <c r="A779" s="97"/>
      <c r="B779" s="65" t="s">
        <v>535</v>
      </c>
      <c r="C779" s="97"/>
      <c r="D779" s="97"/>
      <c r="E779" s="109">
        <v>1683</v>
      </c>
      <c r="F779" s="87"/>
      <c r="G779" s="97"/>
    </row>
    <row r="780" spans="1:7" ht="12.75">
      <c r="A780" s="97"/>
      <c r="B780" s="65" t="s">
        <v>180</v>
      </c>
      <c r="C780" s="97"/>
      <c r="D780" s="97"/>
      <c r="E780" s="109">
        <v>2384</v>
      </c>
      <c r="F780" s="87"/>
      <c r="G780" s="97">
        <v>2283.7</v>
      </c>
    </row>
    <row r="781" spans="1:7" ht="12.75">
      <c r="A781" s="97"/>
      <c r="B781" s="65" t="s">
        <v>30</v>
      </c>
      <c r="C781" s="97"/>
      <c r="D781" s="97"/>
      <c r="E781" s="109">
        <v>4312</v>
      </c>
      <c r="F781" s="87"/>
      <c r="G781" s="97"/>
    </row>
    <row r="782" spans="1:7" ht="12.75">
      <c r="A782" s="97"/>
      <c r="B782" s="65" t="s">
        <v>574</v>
      </c>
      <c r="C782" s="97"/>
      <c r="D782" s="97"/>
      <c r="E782" s="109">
        <v>1735</v>
      </c>
      <c r="F782" s="87"/>
      <c r="G782" s="97">
        <v>3555</v>
      </c>
    </row>
    <row r="783" spans="1:7" ht="12.75">
      <c r="A783" s="97"/>
      <c r="B783" s="65"/>
      <c r="C783" s="97"/>
      <c r="D783" s="97"/>
      <c r="E783" s="109"/>
      <c r="F783" s="87"/>
      <c r="G783" s="97"/>
    </row>
    <row r="784" spans="1:7" ht="12.75">
      <c r="A784" s="97"/>
      <c r="B784" s="65"/>
      <c r="C784" s="97"/>
      <c r="D784" s="97"/>
      <c r="E784" s="109"/>
      <c r="F784" s="87"/>
      <c r="G784" s="97"/>
    </row>
    <row r="785" spans="1:7" ht="12.75">
      <c r="A785" s="97"/>
      <c r="B785" s="65"/>
      <c r="C785" s="97"/>
      <c r="D785" s="97"/>
      <c r="E785" s="109"/>
      <c r="F785" s="87"/>
      <c r="G785" s="97"/>
    </row>
    <row r="786" spans="1:7" ht="12.75">
      <c r="A786" s="97"/>
      <c r="B786" s="65"/>
      <c r="C786" s="97"/>
      <c r="D786" s="97"/>
      <c r="E786" s="109"/>
      <c r="F786" s="87"/>
      <c r="G786" s="97"/>
    </row>
    <row r="787" spans="1:7" ht="12.75">
      <c r="A787" s="97"/>
      <c r="B787" s="116" t="s">
        <v>618</v>
      </c>
      <c r="C787" s="97"/>
      <c r="D787" s="97"/>
      <c r="E787" s="109"/>
      <c r="F787" s="87"/>
      <c r="G787" s="97"/>
    </row>
    <row r="788" spans="1:7" ht="12.75">
      <c r="A788" s="97"/>
      <c r="B788" s="65" t="s">
        <v>393</v>
      </c>
      <c r="C788" s="97"/>
      <c r="D788" s="97"/>
      <c r="E788" s="109">
        <v>8652</v>
      </c>
      <c r="F788" s="87"/>
      <c r="G788" s="97">
        <v>12166</v>
      </c>
    </row>
    <row r="789" spans="1:7" ht="12.75">
      <c r="A789" s="97"/>
      <c r="B789" s="65" t="s">
        <v>114</v>
      </c>
      <c r="C789" s="97"/>
      <c r="D789" s="97"/>
      <c r="E789" s="109">
        <v>164232.75</v>
      </c>
      <c r="F789" s="87"/>
      <c r="G789" s="97"/>
    </row>
    <row r="790" spans="1:7" ht="12.75">
      <c r="A790" s="97"/>
      <c r="B790" s="65" t="s">
        <v>327</v>
      </c>
      <c r="C790" s="97"/>
      <c r="D790" s="97"/>
      <c r="E790" s="109">
        <v>2295</v>
      </c>
      <c r="F790" s="87"/>
      <c r="G790" s="97"/>
    </row>
    <row r="791" spans="1:7" ht="12.75">
      <c r="A791" s="97"/>
      <c r="B791" s="65" t="s">
        <v>575</v>
      </c>
      <c r="C791" s="97"/>
      <c r="D791" s="97"/>
      <c r="E791" s="109">
        <v>40500</v>
      </c>
      <c r="F791" s="87"/>
      <c r="G791" s="97"/>
    </row>
    <row r="792" spans="1:7" ht="12.75">
      <c r="A792" s="97"/>
      <c r="B792" s="65"/>
      <c r="C792" s="97"/>
      <c r="D792" s="97"/>
      <c r="E792" s="109"/>
      <c r="F792" s="87"/>
      <c r="G792" s="97"/>
    </row>
    <row r="793" spans="1:7" ht="12.75">
      <c r="A793" s="97"/>
      <c r="B793" s="116" t="s">
        <v>619</v>
      </c>
      <c r="C793" s="97"/>
      <c r="D793" s="97"/>
      <c r="E793" s="109"/>
      <c r="F793" s="87"/>
      <c r="G793" s="97"/>
    </row>
    <row r="794" spans="1:7" ht="12.75">
      <c r="A794" s="97"/>
      <c r="B794" s="65" t="s">
        <v>346</v>
      </c>
      <c r="C794" s="97"/>
      <c r="D794" s="97"/>
      <c r="E794" s="109">
        <v>1500</v>
      </c>
      <c r="F794" s="87"/>
      <c r="G794" s="97"/>
    </row>
    <row r="795" spans="1:7" ht="12.75">
      <c r="A795" s="97"/>
      <c r="B795" s="65" t="s">
        <v>576</v>
      </c>
      <c r="C795" s="97"/>
      <c r="D795" s="97"/>
      <c r="E795" s="109">
        <v>73952</v>
      </c>
      <c r="F795" s="87"/>
      <c r="G795" s="97"/>
    </row>
    <row r="796" spans="1:7" ht="12.75">
      <c r="A796" s="97"/>
      <c r="B796" s="65" t="s">
        <v>577</v>
      </c>
      <c r="C796" s="97"/>
      <c r="D796" s="97"/>
      <c r="E796" s="109">
        <v>51400</v>
      </c>
      <c r="F796" s="87"/>
      <c r="G796" s="97"/>
    </row>
    <row r="797" spans="1:7" ht="12.75">
      <c r="A797" s="97"/>
      <c r="B797" s="131"/>
      <c r="C797" s="97"/>
      <c r="D797" s="97"/>
      <c r="E797" s="109"/>
      <c r="F797" s="87"/>
      <c r="G797" s="97"/>
    </row>
    <row r="798" spans="1:7" ht="13.5" thickBot="1">
      <c r="A798" s="97"/>
      <c r="B798" s="131"/>
      <c r="C798" s="97"/>
      <c r="D798" s="97"/>
      <c r="E798" s="61">
        <f>SUM(E772:E797)</f>
        <v>399215.75</v>
      </c>
      <c r="F798" s="87"/>
      <c r="G798" s="61">
        <f>SUM(G772:G797)</f>
        <v>23154.7</v>
      </c>
    </row>
    <row r="799" spans="1:7" ht="13.5" thickTop="1">
      <c r="A799" s="97"/>
      <c r="B799" s="131"/>
      <c r="C799" s="97"/>
      <c r="D799" s="97"/>
      <c r="E799" s="109"/>
      <c r="F799" s="87"/>
      <c r="G799" s="97"/>
    </row>
    <row r="800" spans="1:7" ht="12.75">
      <c r="A800" s="97"/>
      <c r="B800" s="111" t="s">
        <v>584</v>
      </c>
      <c r="C800" s="97"/>
      <c r="D800" s="87"/>
      <c r="E800" s="87"/>
      <c r="F800" s="87"/>
      <c r="G800" s="87"/>
    </row>
    <row r="801" spans="1:7" ht="12.75">
      <c r="A801" s="97"/>
      <c r="B801" s="43" t="s">
        <v>579</v>
      </c>
      <c r="C801" s="94"/>
      <c r="D801" s="87"/>
      <c r="E801" s="87"/>
      <c r="F801" s="87"/>
      <c r="G801" s="87"/>
    </row>
    <row r="802" spans="1:7" ht="12.75">
      <c r="A802" s="97"/>
      <c r="B802" s="117" t="s">
        <v>617</v>
      </c>
      <c r="C802" s="94"/>
      <c r="D802" s="97"/>
      <c r="E802" s="97"/>
      <c r="F802" s="87"/>
      <c r="G802" s="97"/>
    </row>
    <row r="803" spans="1:7" ht="12.75">
      <c r="A803" s="97"/>
      <c r="B803" s="131" t="s">
        <v>451</v>
      </c>
      <c r="C803" s="97"/>
      <c r="D803" s="97"/>
      <c r="E803" s="109">
        <v>6960</v>
      </c>
      <c r="F803" s="87"/>
      <c r="G803" s="97"/>
    </row>
    <row r="804" spans="1:7" ht="12.75">
      <c r="A804" s="97"/>
      <c r="B804" s="65" t="s">
        <v>580</v>
      </c>
      <c r="C804" s="97"/>
      <c r="D804" s="97"/>
      <c r="E804" s="109">
        <v>1300</v>
      </c>
      <c r="F804" s="87"/>
      <c r="G804" s="97"/>
    </row>
    <row r="805" spans="1:7" ht="12.75">
      <c r="A805" s="97"/>
      <c r="B805" s="65" t="s">
        <v>532</v>
      </c>
      <c r="C805" s="97"/>
      <c r="D805" s="97"/>
      <c r="E805" s="109">
        <v>272</v>
      </c>
      <c r="F805" s="87"/>
      <c r="G805" s="97"/>
    </row>
    <row r="806" spans="2:7" ht="12.75">
      <c r="B806" s="65" t="s">
        <v>535</v>
      </c>
      <c r="C806" s="97"/>
      <c r="D806" s="97"/>
      <c r="E806" s="109">
        <f>2156+14706</f>
        <v>16862</v>
      </c>
      <c r="F806" s="87"/>
      <c r="G806" s="97"/>
    </row>
    <row r="807" spans="2:7" ht="12.75">
      <c r="B807" s="65" t="s">
        <v>29</v>
      </c>
      <c r="C807" s="97"/>
      <c r="D807" s="97"/>
      <c r="E807" s="109">
        <v>306</v>
      </c>
      <c r="F807" s="87"/>
      <c r="G807" s="97"/>
    </row>
    <row r="808" spans="1:7" ht="12.75">
      <c r="A808" s="97"/>
      <c r="B808" s="65" t="s">
        <v>581</v>
      </c>
      <c r="C808" s="97"/>
      <c r="D808" s="97"/>
      <c r="E808" s="109">
        <f>313+1076</f>
        <v>1389</v>
      </c>
      <c r="F808" s="87"/>
      <c r="G808" s="97"/>
    </row>
    <row r="809" spans="1:7" ht="12.75">
      <c r="A809" s="97"/>
      <c r="B809" s="65"/>
      <c r="C809" s="97"/>
      <c r="D809" s="97"/>
      <c r="E809" s="109"/>
      <c r="F809" s="87"/>
      <c r="G809" s="97"/>
    </row>
    <row r="810" spans="1:7" ht="12.75">
      <c r="A810" s="97"/>
      <c r="B810" s="116" t="s">
        <v>618</v>
      </c>
      <c r="C810" s="97"/>
      <c r="D810" s="97"/>
      <c r="E810" s="109"/>
      <c r="F810" s="87"/>
      <c r="G810" s="97"/>
    </row>
    <row r="811" spans="1:7" ht="12.75">
      <c r="A811" s="97"/>
      <c r="B811" s="65" t="s">
        <v>455</v>
      </c>
      <c r="C811" s="97"/>
      <c r="D811" s="97"/>
      <c r="E811" s="109">
        <v>2000</v>
      </c>
      <c r="F811" s="87"/>
      <c r="G811" s="97">
        <v>2400</v>
      </c>
    </row>
    <row r="812" spans="1:7" ht="12.75">
      <c r="A812" s="97"/>
      <c r="B812" s="65" t="s">
        <v>582</v>
      </c>
      <c r="C812" s="97"/>
      <c r="D812" s="97"/>
      <c r="E812" s="109">
        <v>60000</v>
      </c>
      <c r="F812" s="87"/>
      <c r="G812" s="97">
        <f>8050+7250</f>
        <v>15300</v>
      </c>
    </row>
    <row r="813" spans="1:7" ht="12.75">
      <c r="A813" s="97"/>
      <c r="B813" s="65" t="s">
        <v>346</v>
      </c>
      <c r="C813" s="97"/>
      <c r="D813" s="97"/>
      <c r="E813" s="109">
        <v>1700</v>
      </c>
      <c r="F813" s="87"/>
      <c r="G813" s="97"/>
    </row>
    <row r="814" spans="1:7" ht="12.75">
      <c r="A814" s="97"/>
      <c r="B814" s="65" t="s">
        <v>583</v>
      </c>
      <c r="C814" s="97"/>
      <c r="D814" s="97"/>
      <c r="E814" s="109">
        <v>22920</v>
      </c>
      <c r="F814" s="87"/>
      <c r="G814" s="97"/>
    </row>
    <row r="815" spans="1:7" ht="12.75">
      <c r="A815" s="97"/>
      <c r="B815" s="131"/>
      <c r="C815" s="97"/>
      <c r="D815" s="97"/>
      <c r="E815" s="109"/>
      <c r="F815" s="87"/>
      <c r="G815" s="97"/>
    </row>
    <row r="816" spans="1:7" ht="13.5" thickBot="1">
      <c r="A816" s="97"/>
      <c r="B816" s="131"/>
      <c r="C816" s="97"/>
      <c r="D816" s="97"/>
      <c r="E816" s="61">
        <f>SUM(E803:E815)</f>
        <v>113709</v>
      </c>
      <c r="F816" s="87"/>
      <c r="G816" s="61">
        <f>SUM(G803:G815)</f>
        <v>17700</v>
      </c>
    </row>
    <row r="817" spans="1:7" ht="13.5" thickTop="1">
      <c r="A817" s="97"/>
      <c r="B817" s="111" t="s">
        <v>672</v>
      </c>
      <c r="C817" s="97"/>
      <c r="D817" s="87"/>
      <c r="E817" s="87"/>
      <c r="F817" s="87"/>
      <c r="G817" s="87"/>
    </row>
    <row r="818" spans="1:7" ht="12.75">
      <c r="A818" s="97"/>
      <c r="B818" s="43" t="s">
        <v>585</v>
      </c>
      <c r="C818" s="94"/>
      <c r="D818" s="87"/>
      <c r="E818" s="87"/>
      <c r="F818" s="87"/>
      <c r="G818" s="87"/>
    </row>
    <row r="819" spans="1:7" ht="12.75">
      <c r="A819" s="97"/>
      <c r="B819" s="117" t="s">
        <v>617</v>
      </c>
      <c r="C819" s="94"/>
      <c r="D819" s="97"/>
      <c r="E819" s="97"/>
      <c r="F819" s="87"/>
      <c r="G819" s="97"/>
    </row>
    <row r="820" spans="1:7" ht="12.75">
      <c r="A820" s="97"/>
      <c r="B820" s="131" t="s">
        <v>586</v>
      </c>
      <c r="C820" s="97"/>
      <c r="D820" s="97"/>
      <c r="E820" s="109">
        <v>680</v>
      </c>
      <c r="F820" s="87"/>
      <c r="G820" s="97"/>
    </row>
    <row r="821" spans="1:7" ht="12.75">
      <c r="A821" s="97"/>
      <c r="B821" s="65" t="s">
        <v>68</v>
      </c>
      <c r="C821" s="97"/>
      <c r="D821" s="97"/>
      <c r="E821" s="109">
        <v>12</v>
      </c>
      <c r="F821" s="87"/>
      <c r="G821" s="97"/>
    </row>
    <row r="822" spans="1:7" ht="12.75">
      <c r="A822" s="97"/>
      <c r="B822" s="65" t="s">
        <v>556</v>
      </c>
      <c r="C822" s="97"/>
      <c r="D822" s="97"/>
      <c r="E822" s="109">
        <v>626</v>
      </c>
      <c r="F822" s="87"/>
      <c r="G822" s="97"/>
    </row>
    <row r="823" spans="1:7" ht="12.75">
      <c r="A823" s="97"/>
      <c r="B823" s="65" t="s">
        <v>168</v>
      </c>
      <c r="C823" s="97"/>
      <c r="D823" s="97"/>
      <c r="E823" s="109">
        <v>1312.5</v>
      </c>
      <c r="F823" s="87"/>
      <c r="G823" s="97">
        <f>1053+2002.5</f>
        <v>3055.5</v>
      </c>
    </row>
    <row r="824" spans="1:7" ht="12.75">
      <c r="A824" s="97"/>
      <c r="B824" s="65" t="s">
        <v>30</v>
      </c>
      <c r="C824" s="97"/>
      <c r="D824" s="97"/>
      <c r="E824" s="109">
        <v>5511</v>
      </c>
      <c r="F824" s="87"/>
      <c r="G824" s="97"/>
    </row>
    <row r="825" spans="1:7" ht="12.75">
      <c r="A825" s="97"/>
      <c r="B825" s="65" t="s">
        <v>536</v>
      </c>
      <c r="C825" s="97"/>
      <c r="D825" s="97"/>
      <c r="E825" s="109">
        <v>13</v>
      </c>
      <c r="F825" s="87"/>
      <c r="G825" s="97"/>
    </row>
    <row r="826" spans="1:7" ht="12.75">
      <c r="A826" s="97"/>
      <c r="B826" s="65"/>
      <c r="C826" s="97"/>
      <c r="D826" s="97"/>
      <c r="E826" s="109"/>
      <c r="F826" s="87"/>
      <c r="G826" s="97"/>
    </row>
    <row r="827" spans="1:7" ht="12.75">
      <c r="A827" s="97"/>
      <c r="B827" s="116" t="s">
        <v>618</v>
      </c>
      <c r="C827" s="97"/>
      <c r="D827" s="97"/>
      <c r="E827" s="109"/>
      <c r="F827" s="87"/>
      <c r="G827" s="97"/>
    </row>
    <row r="828" spans="1:7" ht="12.75">
      <c r="A828" s="97"/>
      <c r="B828" s="65" t="s">
        <v>587</v>
      </c>
      <c r="C828" s="97"/>
      <c r="D828" s="97"/>
      <c r="E828" s="109">
        <v>83925</v>
      </c>
      <c r="F828" s="87"/>
      <c r="G828" s="97"/>
    </row>
    <row r="829" spans="1:7" ht="12.75">
      <c r="A829" s="97"/>
      <c r="B829" s="65" t="s">
        <v>469</v>
      </c>
      <c r="C829" s="97"/>
      <c r="D829" s="97"/>
      <c r="E829" s="109">
        <v>420603.5</v>
      </c>
      <c r="F829" s="87"/>
      <c r="G829" s="97">
        <v>9776</v>
      </c>
    </row>
    <row r="830" spans="1:7" ht="12.75">
      <c r="A830" s="97"/>
      <c r="B830" s="65" t="s">
        <v>175</v>
      </c>
      <c r="C830" s="97"/>
      <c r="D830" s="97"/>
      <c r="E830" s="109">
        <v>37485</v>
      </c>
      <c r="F830" s="87"/>
      <c r="G830" s="97">
        <v>7429</v>
      </c>
    </row>
    <row r="831" spans="1:7" ht="12.75">
      <c r="A831" s="97"/>
      <c r="B831" s="65"/>
      <c r="C831" s="97"/>
      <c r="D831" s="97"/>
      <c r="E831" s="109"/>
      <c r="F831" s="87"/>
      <c r="G831" s="97"/>
    </row>
    <row r="832" spans="1:7" ht="12.75">
      <c r="A832" s="97"/>
      <c r="B832" s="116" t="s">
        <v>619</v>
      </c>
      <c r="C832" s="97"/>
      <c r="D832" s="97"/>
      <c r="E832" s="109"/>
      <c r="F832" s="87"/>
      <c r="G832" s="97"/>
    </row>
    <row r="833" spans="1:7" ht="12.75">
      <c r="A833" s="97"/>
      <c r="B833" s="65" t="s">
        <v>346</v>
      </c>
      <c r="C833" s="97"/>
      <c r="D833" s="97"/>
      <c r="E833" s="109">
        <v>2500</v>
      </c>
      <c r="F833" s="87"/>
      <c r="G833" s="97"/>
    </row>
    <row r="834" spans="1:7" ht="12.75">
      <c r="A834" s="97"/>
      <c r="B834" s="65" t="s">
        <v>72</v>
      </c>
      <c r="C834" s="97"/>
      <c r="D834" s="97"/>
      <c r="E834" s="109">
        <v>18300</v>
      </c>
      <c r="F834" s="87"/>
      <c r="G834" s="97"/>
    </row>
    <row r="835" spans="1:7" ht="13.5" thickBot="1">
      <c r="A835" s="97"/>
      <c r="B835" s="131"/>
      <c r="C835" s="97"/>
      <c r="D835" s="97"/>
      <c r="E835" s="61">
        <f>SUM(E820:E834)</f>
        <v>570968</v>
      </c>
      <c r="F835" s="87"/>
      <c r="G835" s="61">
        <f>SUM(G820:G834)</f>
        <v>20260.5</v>
      </c>
    </row>
    <row r="836" spans="1:7" ht="13.5" thickTop="1">
      <c r="A836" s="97"/>
      <c r="B836" s="131"/>
      <c r="C836" s="97"/>
      <c r="D836" s="97"/>
      <c r="E836" s="109"/>
      <c r="F836" s="87"/>
      <c r="G836" s="97"/>
    </row>
    <row r="837" spans="1:7" ht="12.75">
      <c r="A837" s="97"/>
      <c r="B837" s="131"/>
      <c r="C837" s="97"/>
      <c r="D837" s="97"/>
      <c r="E837" s="109"/>
      <c r="F837" s="87"/>
      <c r="G837" s="97"/>
    </row>
    <row r="838" spans="1:7" ht="12.75">
      <c r="A838" s="97"/>
      <c r="B838" s="111" t="s">
        <v>683</v>
      </c>
      <c r="C838" s="97"/>
      <c r="D838" s="87"/>
      <c r="E838" s="87"/>
      <c r="F838" s="87"/>
      <c r="G838" s="87"/>
    </row>
    <row r="839" spans="1:7" ht="15" customHeight="1">
      <c r="A839" s="97"/>
      <c r="B839" s="43" t="s">
        <v>673</v>
      </c>
      <c r="C839" s="94"/>
      <c r="D839" s="87"/>
      <c r="E839" s="87"/>
      <c r="F839" s="87"/>
      <c r="G839" s="87"/>
    </row>
    <row r="840" spans="2:7" ht="15" customHeight="1">
      <c r="B840" s="131" t="s">
        <v>674</v>
      </c>
      <c r="C840" s="97"/>
      <c r="D840" s="97"/>
      <c r="E840" s="109">
        <v>18312</v>
      </c>
      <c r="F840" s="87"/>
      <c r="G840" s="97"/>
    </row>
    <row r="841" spans="2:7" ht="12.75">
      <c r="B841" s="131" t="s">
        <v>675</v>
      </c>
      <c r="C841" s="97"/>
      <c r="D841" s="97"/>
      <c r="E841" s="109">
        <v>66990</v>
      </c>
      <c r="F841" s="87"/>
      <c r="G841" s="97"/>
    </row>
    <row r="842" spans="1:7" ht="12.75">
      <c r="A842" s="97"/>
      <c r="B842" s="65" t="s">
        <v>676</v>
      </c>
      <c r="C842" s="97"/>
      <c r="D842" s="97"/>
      <c r="E842" s="109">
        <f>50007+24000</f>
        <v>74007</v>
      </c>
      <c r="F842" s="87"/>
      <c r="G842" s="97"/>
    </row>
    <row r="843" spans="1:7" ht="12.75">
      <c r="A843" s="97"/>
      <c r="B843" s="65" t="s">
        <v>677</v>
      </c>
      <c r="C843" s="97"/>
      <c r="D843" s="97"/>
      <c r="E843" s="109">
        <f>26532+12000</f>
        <v>38532</v>
      </c>
      <c r="F843" s="87"/>
      <c r="G843" s="97"/>
    </row>
    <row r="844" spans="1:7" ht="12.75">
      <c r="A844" s="97"/>
      <c r="B844" s="65" t="s">
        <v>678</v>
      </c>
      <c r="C844" s="97"/>
      <c r="D844" s="97"/>
      <c r="E844" s="109">
        <v>30000</v>
      </c>
      <c r="F844" s="87"/>
      <c r="G844" s="97"/>
    </row>
    <row r="845" spans="1:7" ht="12.75">
      <c r="A845" s="97"/>
      <c r="B845" s="65" t="s">
        <v>679</v>
      </c>
      <c r="C845" s="97"/>
      <c r="D845" s="97"/>
      <c r="E845" s="109">
        <v>14324</v>
      </c>
      <c r="F845" s="87"/>
      <c r="G845" s="97"/>
    </row>
    <row r="846" spans="1:7" ht="12.75">
      <c r="A846" s="97"/>
      <c r="B846" s="65" t="s">
        <v>680</v>
      </c>
      <c r="C846" s="97"/>
      <c r="D846" s="97"/>
      <c r="E846" s="109">
        <v>10000</v>
      </c>
      <c r="F846" s="87"/>
      <c r="G846" s="97"/>
    </row>
    <row r="847" spans="1:7" ht="12.75">
      <c r="A847" s="97"/>
      <c r="B847" s="131"/>
      <c r="C847" s="97"/>
      <c r="D847" s="97"/>
      <c r="E847" s="109"/>
      <c r="F847" s="87"/>
      <c r="G847" s="97"/>
    </row>
    <row r="848" spans="1:7" ht="13.5" thickBot="1">
      <c r="A848" s="97"/>
      <c r="B848" s="131"/>
      <c r="C848" s="97"/>
      <c r="D848" s="97"/>
      <c r="E848" s="61">
        <f>SUM(E840:E847)</f>
        <v>252165</v>
      </c>
      <c r="F848" s="87"/>
      <c r="G848" s="61">
        <v>177761</v>
      </c>
    </row>
    <row r="849" spans="1:7" ht="13.5" thickTop="1">
      <c r="A849" s="97"/>
      <c r="B849" s="131"/>
      <c r="C849" s="97"/>
      <c r="D849" s="97"/>
      <c r="E849" s="109"/>
      <c r="F849" s="87"/>
      <c r="G849" s="97"/>
    </row>
    <row r="850" spans="1:7" ht="12.75">
      <c r="A850" s="97"/>
      <c r="B850" s="111" t="s">
        <v>768</v>
      </c>
      <c r="C850" s="97"/>
      <c r="D850" s="87"/>
      <c r="E850" s="87"/>
      <c r="F850" s="87"/>
      <c r="G850" s="87"/>
    </row>
    <row r="851" spans="1:7" ht="12.75">
      <c r="A851" s="97"/>
      <c r="B851" s="43" t="s">
        <v>684</v>
      </c>
      <c r="C851" s="94"/>
      <c r="D851" s="87"/>
      <c r="E851" s="87"/>
      <c r="F851" s="87"/>
      <c r="G851" s="87"/>
    </row>
    <row r="852" spans="2:7" ht="12.75">
      <c r="B852" s="131" t="s">
        <v>685</v>
      </c>
      <c r="C852" s="97"/>
      <c r="D852" s="97"/>
      <c r="E852" s="109">
        <v>23000</v>
      </c>
      <c r="F852" s="87"/>
      <c r="G852" s="97"/>
    </row>
    <row r="853" spans="2:7" ht="12.75">
      <c r="B853" s="65" t="s">
        <v>686</v>
      </c>
      <c r="C853" s="97"/>
      <c r="D853" s="97"/>
      <c r="E853" s="109">
        <f>100016+166677</f>
        <v>266693</v>
      </c>
      <c r="F853" s="87"/>
      <c r="G853" s="97"/>
    </row>
    <row r="854" spans="1:7" ht="12.75">
      <c r="A854" s="97"/>
      <c r="B854" s="273" t="s">
        <v>755</v>
      </c>
      <c r="C854" s="274"/>
      <c r="D854" s="97"/>
      <c r="E854" s="109">
        <f>4582+51500</f>
        <v>56082</v>
      </c>
      <c r="F854" s="87"/>
      <c r="G854" s="97"/>
    </row>
    <row r="855" spans="1:7" ht="12.75">
      <c r="A855" s="97"/>
      <c r="B855" s="273" t="s">
        <v>756</v>
      </c>
      <c r="C855" s="274"/>
      <c r="D855" s="97"/>
      <c r="E855" s="109">
        <v>10928</v>
      </c>
      <c r="F855" s="87"/>
      <c r="G855" s="97"/>
    </row>
    <row r="856" spans="1:7" ht="12.75">
      <c r="A856" s="97"/>
      <c r="B856" s="273" t="s">
        <v>757</v>
      </c>
      <c r="C856" s="274"/>
      <c r="D856" s="97"/>
      <c r="E856" s="109">
        <v>11456</v>
      </c>
      <c r="F856" s="87"/>
      <c r="G856" s="97"/>
    </row>
    <row r="857" spans="1:7" ht="12.75">
      <c r="A857" s="97"/>
      <c r="B857" s="273" t="s">
        <v>758</v>
      </c>
      <c r="C857" s="274"/>
      <c r="D857" s="97"/>
      <c r="E857" s="109">
        <v>39659</v>
      </c>
      <c r="F857" s="87"/>
      <c r="G857" s="97"/>
    </row>
    <row r="858" spans="1:7" ht="12.75">
      <c r="A858" s="97"/>
      <c r="B858" s="145" t="s">
        <v>759</v>
      </c>
      <c r="C858" s="144"/>
      <c r="D858" s="97"/>
      <c r="E858" s="109">
        <v>276016</v>
      </c>
      <c r="F858" s="87"/>
      <c r="G858" s="97"/>
    </row>
    <row r="859" spans="1:7" ht="12.75">
      <c r="A859" s="97"/>
      <c r="B859" s="65" t="s">
        <v>687</v>
      </c>
      <c r="C859" s="97"/>
      <c r="D859" s="97"/>
      <c r="E859" s="109">
        <v>64133</v>
      </c>
      <c r="F859" s="87"/>
      <c r="G859" s="97"/>
    </row>
    <row r="860" spans="1:7" ht="12.75">
      <c r="A860" s="97"/>
      <c r="B860" s="65" t="s">
        <v>688</v>
      </c>
      <c r="C860" s="97"/>
      <c r="D860" s="97"/>
      <c r="E860" s="109">
        <v>277331</v>
      </c>
      <c r="F860" s="87"/>
      <c r="G860" s="97"/>
    </row>
    <row r="861" spans="1:7" ht="12.75">
      <c r="A861" s="97"/>
      <c r="B861" s="65" t="s">
        <v>689</v>
      </c>
      <c r="C861" s="97"/>
      <c r="D861" s="97"/>
      <c r="E861" s="109">
        <v>62420</v>
      </c>
      <c r="F861" s="87"/>
      <c r="G861" s="97"/>
    </row>
    <row r="862" spans="1:7" ht="12.75">
      <c r="A862" s="97"/>
      <c r="B862" s="65" t="s">
        <v>690</v>
      </c>
      <c r="C862" s="97"/>
      <c r="D862" s="97"/>
      <c r="E862" s="109">
        <v>646102</v>
      </c>
      <c r="F862" s="87"/>
      <c r="G862" s="97"/>
    </row>
    <row r="863" spans="1:7" ht="12.75">
      <c r="A863" s="97"/>
      <c r="B863" s="65" t="s">
        <v>691</v>
      </c>
      <c r="C863" s="97"/>
      <c r="D863" s="97"/>
      <c r="E863" s="109">
        <v>29154.8</v>
      </c>
      <c r="F863" s="87"/>
      <c r="G863" s="97"/>
    </row>
    <row r="864" spans="1:7" ht="12.75">
      <c r="A864" s="97"/>
      <c r="B864" s="65" t="s">
        <v>692</v>
      </c>
      <c r="C864" s="97"/>
      <c r="D864" s="97"/>
      <c r="E864" s="109">
        <v>120000</v>
      </c>
      <c r="F864" s="87"/>
      <c r="G864" s="97"/>
    </row>
    <row r="865" spans="1:7" ht="12.75">
      <c r="A865" s="97"/>
      <c r="B865" s="65" t="s">
        <v>693</v>
      </c>
      <c r="C865" s="97"/>
      <c r="D865" s="97"/>
      <c r="E865" s="109">
        <v>22000</v>
      </c>
      <c r="F865" s="87"/>
      <c r="G865" s="97"/>
    </row>
    <row r="866" spans="1:7" ht="12.75">
      <c r="A866" s="97"/>
      <c r="B866" s="65" t="s">
        <v>761</v>
      </c>
      <c r="C866" s="97" t="s">
        <v>762</v>
      </c>
      <c r="D866" s="97"/>
      <c r="E866" s="109">
        <v>200000</v>
      </c>
      <c r="F866" s="87"/>
      <c r="G866" s="97"/>
    </row>
    <row r="867" spans="1:7" ht="12.75">
      <c r="A867" s="97"/>
      <c r="B867" s="65" t="s">
        <v>760</v>
      </c>
      <c r="C867" s="97"/>
      <c r="D867" s="97"/>
      <c r="E867" s="109">
        <v>225325</v>
      </c>
      <c r="F867" s="87"/>
      <c r="G867" s="97"/>
    </row>
    <row r="868" spans="1:7" ht="13.5" thickBot="1">
      <c r="A868" s="97"/>
      <c r="B868" s="131"/>
      <c r="C868" s="97"/>
      <c r="D868" s="97"/>
      <c r="E868" s="61">
        <f>SUM(E852:E867)</f>
        <v>2330299.8</v>
      </c>
      <c r="F868" s="87"/>
      <c r="G868" s="128">
        <v>561780.95</v>
      </c>
    </row>
    <row r="869" spans="1:7" ht="13.5" thickTop="1">
      <c r="A869" s="97"/>
      <c r="B869" s="131"/>
      <c r="C869" s="97"/>
      <c r="D869" s="97"/>
      <c r="E869" s="109"/>
      <c r="F869" s="87"/>
      <c r="G869" s="97"/>
    </row>
    <row r="870" spans="1:7" ht="12.75">
      <c r="A870" s="97"/>
      <c r="B870" s="131"/>
      <c r="C870" s="97"/>
      <c r="D870" s="97"/>
      <c r="E870" s="109"/>
      <c r="F870" s="87"/>
      <c r="G870" s="97"/>
    </row>
    <row r="871" spans="1:7" ht="12.75">
      <c r="A871" s="97"/>
      <c r="B871" s="131"/>
      <c r="C871" s="97"/>
      <c r="D871" s="97"/>
      <c r="E871" s="109"/>
      <c r="F871" s="87"/>
      <c r="G871" s="97"/>
    </row>
    <row r="872" spans="1:7" ht="12.75">
      <c r="A872" s="97"/>
      <c r="B872" s="131"/>
      <c r="C872" s="97"/>
      <c r="D872" s="97"/>
      <c r="E872" s="109"/>
      <c r="F872" s="87"/>
      <c r="G872" s="97"/>
    </row>
    <row r="873" spans="1:7" ht="13.5" thickBot="1">
      <c r="A873" s="97"/>
      <c r="B873" s="134"/>
      <c r="C873" s="143"/>
      <c r="D873" s="143"/>
      <c r="E873" s="110"/>
      <c r="F873" s="130"/>
      <c r="G873" s="143"/>
    </row>
    <row r="874" spans="2:7" ht="12.75">
      <c r="B874" s="131"/>
      <c r="C874" s="131"/>
      <c r="D874" s="131"/>
      <c r="E874" s="52"/>
      <c r="F874" s="131"/>
      <c r="G874" s="131"/>
    </row>
  </sheetData>
  <sheetProtection/>
  <mergeCells count="8">
    <mergeCell ref="B856:C856"/>
    <mergeCell ref="B857:C857"/>
    <mergeCell ref="B228:C228"/>
    <mergeCell ref="B512:C512"/>
    <mergeCell ref="B364:C364"/>
    <mergeCell ref="B637:C637"/>
    <mergeCell ref="B854:C854"/>
    <mergeCell ref="B855:C855"/>
  </mergeCells>
  <printOptions/>
  <pageMargins left="0.15748031496062992" right="0.2362204724409449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2"/>
  <sheetViews>
    <sheetView zoomScalePageLayoutView="0" workbookViewId="0" topLeftCell="C1">
      <selection activeCell="C58" sqref="C58"/>
    </sheetView>
  </sheetViews>
  <sheetFormatPr defaultColWidth="9.140625" defaultRowHeight="12.75"/>
  <cols>
    <col min="1" max="1" width="2.28125" style="73" customWidth="1"/>
    <col min="2" max="2" width="29.28125" style="73" customWidth="1"/>
    <col min="3" max="3" width="11.57421875" style="73" customWidth="1"/>
    <col min="4" max="4" width="15.57421875" style="73" customWidth="1"/>
    <col min="5" max="5" width="13.8515625" style="73" customWidth="1"/>
    <col min="6" max="6" width="14.140625" style="73" customWidth="1"/>
    <col min="7" max="7" width="12.57421875" style="73" customWidth="1"/>
    <col min="8" max="8" width="14.140625" style="73" customWidth="1"/>
    <col min="9" max="9" width="13.57421875" style="73" customWidth="1"/>
    <col min="10" max="10" width="14.28125" style="73" customWidth="1"/>
    <col min="11" max="12" width="14.8515625" style="73" customWidth="1"/>
    <col min="13" max="13" width="16.57421875" style="73" customWidth="1"/>
    <col min="14" max="16384" width="9.140625" style="73" customWidth="1"/>
  </cols>
  <sheetData>
    <row r="2" spans="2:14" ht="13.5" thickBot="1">
      <c r="B2" s="27" t="s">
        <v>694</v>
      </c>
      <c r="C2" s="27"/>
      <c r="M2" s="27"/>
      <c r="N2" s="131"/>
    </row>
    <row r="3" spans="2:14" ht="13.5" thickBot="1">
      <c r="B3" s="166" t="s">
        <v>754</v>
      </c>
      <c r="C3" s="120"/>
      <c r="D3" s="167"/>
      <c r="E3" s="167"/>
      <c r="F3" s="167"/>
      <c r="G3" s="167"/>
      <c r="H3" s="167"/>
      <c r="I3" s="167"/>
      <c r="J3" s="167"/>
      <c r="K3" s="167"/>
      <c r="L3" s="167"/>
      <c r="M3" s="119"/>
      <c r="N3" s="131"/>
    </row>
    <row r="4" spans="1:14" ht="13.5" thickBot="1">
      <c r="A4" s="97"/>
      <c r="B4" s="120" t="s">
        <v>695</v>
      </c>
      <c r="C4" s="120"/>
      <c r="D4" s="167"/>
      <c r="E4" s="167"/>
      <c r="F4" s="167"/>
      <c r="G4" s="167"/>
      <c r="H4" s="167"/>
      <c r="I4" s="167"/>
      <c r="J4" s="167"/>
      <c r="K4" s="167"/>
      <c r="L4" s="167"/>
      <c r="M4" s="119"/>
      <c r="N4" s="131"/>
    </row>
    <row r="5" spans="1:14" ht="39" thickBot="1">
      <c r="A5" s="97"/>
      <c r="B5" s="168" t="s">
        <v>696</v>
      </c>
      <c r="C5" s="169" t="s">
        <v>697</v>
      </c>
      <c r="D5" s="170" t="s">
        <v>698</v>
      </c>
      <c r="E5" s="170" t="s">
        <v>699</v>
      </c>
      <c r="F5" s="279" t="s">
        <v>700</v>
      </c>
      <c r="G5" s="280"/>
      <c r="H5" s="281"/>
      <c r="I5" s="171" t="s">
        <v>701</v>
      </c>
      <c r="J5" s="170" t="s">
        <v>702</v>
      </c>
      <c r="K5" s="170" t="s">
        <v>703</v>
      </c>
      <c r="L5" s="170" t="s">
        <v>704</v>
      </c>
      <c r="M5" s="121" t="s">
        <v>705</v>
      </c>
      <c r="N5" s="62"/>
    </row>
    <row r="6" spans="1:14" ht="13.5" thickBot="1">
      <c r="A6" s="97"/>
      <c r="B6" s="155"/>
      <c r="C6" s="155"/>
      <c r="D6" s="155"/>
      <c r="E6" s="155"/>
      <c r="F6" s="172" t="s">
        <v>706</v>
      </c>
      <c r="G6" s="172" t="s">
        <v>707</v>
      </c>
      <c r="H6" s="172" t="s">
        <v>76</v>
      </c>
      <c r="I6" s="155"/>
      <c r="J6" s="155"/>
      <c r="K6" s="155"/>
      <c r="L6" s="155"/>
      <c r="M6" s="173"/>
      <c r="N6" s="131"/>
    </row>
    <row r="7" spans="1:13" ht="12.75">
      <c r="A7" s="97"/>
      <c r="B7" s="154"/>
      <c r="C7" s="154"/>
      <c r="D7" s="136"/>
      <c r="E7" s="136"/>
      <c r="F7" s="133"/>
      <c r="G7" s="136"/>
      <c r="H7" s="133"/>
      <c r="I7" s="136"/>
      <c r="J7" s="133"/>
      <c r="K7" s="136"/>
      <c r="L7" s="174"/>
      <c r="M7" s="97"/>
    </row>
    <row r="8" spans="1:13" ht="12.75">
      <c r="A8" s="131"/>
      <c r="B8" s="175" t="s">
        <v>708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2.75">
      <c r="A9" s="13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2.75">
      <c r="A10" s="131"/>
      <c r="B10" s="57" t="s">
        <v>709</v>
      </c>
      <c r="C10" s="176">
        <v>0.6</v>
      </c>
      <c r="D10" s="57" t="s">
        <v>710</v>
      </c>
      <c r="E10" s="177">
        <v>37278</v>
      </c>
      <c r="F10" s="177">
        <v>9800</v>
      </c>
      <c r="G10" s="177">
        <f>74842-61800</f>
        <v>13042</v>
      </c>
      <c r="H10" s="177">
        <f>F10+G10</f>
        <v>22842</v>
      </c>
      <c r="I10" s="57"/>
      <c r="J10" s="177">
        <f>E10+H10</f>
        <v>60120</v>
      </c>
      <c r="K10" s="177">
        <f>ROUND(((E10+F10)*C10+G10*C10/2),0)</f>
        <v>32159</v>
      </c>
      <c r="L10" s="177">
        <v>7439</v>
      </c>
      <c r="M10" s="177">
        <f>J10-K10-L10</f>
        <v>20522</v>
      </c>
    </row>
    <row r="11" spans="1:13" ht="12.75">
      <c r="A11" s="131"/>
      <c r="B11" s="57" t="s">
        <v>711</v>
      </c>
      <c r="C11" s="176">
        <v>0.6</v>
      </c>
      <c r="D11" s="57" t="s">
        <v>710</v>
      </c>
      <c r="E11" s="177"/>
      <c r="F11" s="57"/>
      <c r="G11" s="177">
        <v>61800</v>
      </c>
      <c r="H11" s="177">
        <f>F11+G11</f>
        <v>61800</v>
      </c>
      <c r="I11" s="57"/>
      <c r="J11" s="177">
        <f>E11+H11</f>
        <v>61800</v>
      </c>
      <c r="K11" s="177">
        <f>ROUND(((E11+F11)*C11+G11*C11/2),0)</f>
        <v>18540</v>
      </c>
      <c r="L11" s="177"/>
      <c r="M11" s="177">
        <f>J11-K11-L11</f>
        <v>43260</v>
      </c>
    </row>
    <row r="12" spans="1:13" ht="12.75">
      <c r="A12" s="131"/>
      <c r="B12" s="57" t="s">
        <v>712</v>
      </c>
      <c r="C12" s="176">
        <v>0.6</v>
      </c>
      <c r="D12" s="57" t="s">
        <v>710</v>
      </c>
      <c r="E12" s="177">
        <f>11440+3584</f>
        <v>15024</v>
      </c>
      <c r="F12" s="177">
        <v>12758</v>
      </c>
      <c r="G12" s="57"/>
      <c r="H12" s="177">
        <f aca="true" t="shared" si="0" ref="H12:H46">F12+G12</f>
        <v>12758</v>
      </c>
      <c r="I12" s="57"/>
      <c r="J12" s="177">
        <f aca="true" t="shared" si="1" ref="J12:J30">E12+H12</f>
        <v>27782</v>
      </c>
      <c r="K12" s="177">
        <f aca="true" t="shared" si="2" ref="K12:K40">ROUND(((E12+F12)*C12+G12*C12/2),0)</f>
        <v>16669</v>
      </c>
      <c r="L12" s="57"/>
      <c r="M12" s="177">
        <f aca="true" t="shared" si="3" ref="M12:M46">J12-K12-L12</f>
        <v>11113</v>
      </c>
    </row>
    <row r="13" spans="1:13" ht="12.75">
      <c r="A13" s="131"/>
      <c r="B13" s="57" t="s">
        <v>713</v>
      </c>
      <c r="C13" s="176">
        <v>0.6</v>
      </c>
      <c r="D13" s="57" t="s">
        <v>710</v>
      </c>
      <c r="E13" s="177">
        <v>640</v>
      </c>
      <c r="F13" s="177"/>
      <c r="G13" s="57"/>
      <c r="H13" s="177">
        <f t="shared" si="0"/>
        <v>0</v>
      </c>
      <c r="I13" s="57"/>
      <c r="J13" s="177">
        <f t="shared" si="1"/>
        <v>640</v>
      </c>
      <c r="K13" s="177">
        <v>0</v>
      </c>
      <c r="L13" s="177">
        <v>640</v>
      </c>
      <c r="M13" s="177">
        <v>0</v>
      </c>
    </row>
    <row r="14" spans="1:13" ht="12.75">
      <c r="A14" s="131"/>
      <c r="B14" s="57"/>
      <c r="C14" s="176"/>
      <c r="D14" s="57"/>
      <c r="E14" s="177"/>
      <c r="F14" s="177"/>
      <c r="G14" s="57"/>
      <c r="H14" s="177"/>
      <c r="I14" s="57"/>
      <c r="J14" s="177"/>
      <c r="K14" s="177"/>
      <c r="L14" s="177"/>
      <c r="M14" s="177"/>
    </row>
    <row r="15" spans="1:13" ht="12.75">
      <c r="A15" s="131"/>
      <c r="B15" s="57"/>
      <c r="C15" s="57"/>
      <c r="D15" s="57"/>
      <c r="E15" s="177"/>
      <c r="F15" s="57"/>
      <c r="G15" s="57"/>
      <c r="H15" s="177">
        <f t="shared" si="0"/>
        <v>0</v>
      </c>
      <c r="I15" s="57"/>
      <c r="J15" s="177">
        <f t="shared" si="1"/>
        <v>0</v>
      </c>
      <c r="K15" s="177">
        <f t="shared" si="2"/>
        <v>0</v>
      </c>
      <c r="L15" s="57"/>
      <c r="M15" s="177">
        <f t="shared" si="3"/>
        <v>0</v>
      </c>
    </row>
    <row r="16" spans="1:13" ht="12.75">
      <c r="A16" s="131"/>
      <c r="B16" s="122" t="s">
        <v>714</v>
      </c>
      <c r="C16" s="57"/>
      <c r="D16" s="57"/>
      <c r="E16" s="177"/>
      <c r="F16" s="57"/>
      <c r="G16" s="57"/>
      <c r="H16" s="177">
        <f t="shared" si="0"/>
        <v>0</v>
      </c>
      <c r="I16" s="57"/>
      <c r="J16" s="177">
        <f t="shared" si="1"/>
        <v>0</v>
      </c>
      <c r="K16" s="177">
        <f t="shared" si="2"/>
        <v>0</v>
      </c>
      <c r="L16" s="57"/>
      <c r="M16" s="177">
        <f t="shared" si="3"/>
        <v>0</v>
      </c>
    </row>
    <row r="17" spans="1:13" ht="12.75">
      <c r="A17" s="131"/>
      <c r="B17" s="57"/>
      <c r="C17" s="57"/>
      <c r="D17" s="57"/>
      <c r="E17" s="177"/>
      <c r="F17" s="57"/>
      <c r="G17" s="57"/>
      <c r="H17" s="177">
        <f t="shared" si="0"/>
        <v>0</v>
      </c>
      <c r="I17" s="57"/>
      <c r="J17" s="177">
        <f t="shared" si="1"/>
        <v>0</v>
      </c>
      <c r="K17" s="177">
        <f t="shared" si="2"/>
        <v>0</v>
      </c>
      <c r="L17" s="57"/>
      <c r="M17" s="177">
        <f t="shared" si="3"/>
        <v>0</v>
      </c>
    </row>
    <row r="18" spans="1:13" ht="12.75">
      <c r="A18" s="131"/>
      <c r="B18" s="57" t="s">
        <v>715</v>
      </c>
      <c r="C18" s="176">
        <v>0.15</v>
      </c>
      <c r="D18" s="57" t="s">
        <v>710</v>
      </c>
      <c r="E18" s="177">
        <v>162597</v>
      </c>
      <c r="F18" s="57"/>
      <c r="G18" s="57"/>
      <c r="H18" s="177">
        <f t="shared" si="0"/>
        <v>0</v>
      </c>
      <c r="I18" s="57"/>
      <c r="J18" s="177">
        <f t="shared" si="1"/>
        <v>162597</v>
      </c>
      <c r="K18" s="177">
        <f t="shared" si="2"/>
        <v>24390</v>
      </c>
      <c r="L18" s="57"/>
      <c r="M18" s="177">
        <f t="shared" si="3"/>
        <v>138207</v>
      </c>
    </row>
    <row r="19" spans="1:13" ht="12.75">
      <c r="A19" s="131"/>
      <c r="B19" s="57" t="s">
        <v>716</v>
      </c>
      <c r="C19" s="176">
        <v>0.15</v>
      </c>
      <c r="D19" s="57" t="s">
        <v>710</v>
      </c>
      <c r="E19" s="177">
        <v>19507</v>
      </c>
      <c r="F19" s="57"/>
      <c r="G19" s="57"/>
      <c r="H19" s="177">
        <f t="shared" si="0"/>
        <v>0</v>
      </c>
      <c r="I19" s="57"/>
      <c r="J19" s="177">
        <f t="shared" si="1"/>
        <v>19507</v>
      </c>
      <c r="K19" s="177">
        <f t="shared" si="2"/>
        <v>2926</v>
      </c>
      <c r="L19" s="57"/>
      <c r="M19" s="177">
        <f t="shared" si="3"/>
        <v>16581</v>
      </c>
    </row>
    <row r="20" spans="1:13" ht="12.75">
      <c r="A20" s="131"/>
      <c r="B20" s="57" t="s">
        <v>717</v>
      </c>
      <c r="C20" s="176">
        <v>0.15</v>
      </c>
      <c r="D20" s="57" t="s">
        <v>718</v>
      </c>
      <c r="E20" s="177">
        <v>3750</v>
      </c>
      <c r="F20" s="57"/>
      <c r="G20" s="57"/>
      <c r="H20" s="177">
        <f t="shared" si="0"/>
        <v>0</v>
      </c>
      <c r="I20" s="57"/>
      <c r="J20" s="177">
        <f t="shared" si="1"/>
        <v>3750</v>
      </c>
      <c r="K20" s="177">
        <f t="shared" si="2"/>
        <v>563</v>
      </c>
      <c r="L20" s="57"/>
      <c r="M20" s="177">
        <f t="shared" si="3"/>
        <v>3187</v>
      </c>
    </row>
    <row r="21" spans="1:13" ht="12.75">
      <c r="A21" s="131"/>
      <c r="B21" s="57" t="s">
        <v>719</v>
      </c>
      <c r="C21" s="176">
        <v>0.15</v>
      </c>
      <c r="D21" s="57" t="s">
        <v>710</v>
      </c>
      <c r="E21" s="177">
        <v>19684</v>
      </c>
      <c r="F21" s="57"/>
      <c r="G21" s="57"/>
      <c r="H21" s="177">
        <f t="shared" si="0"/>
        <v>0</v>
      </c>
      <c r="I21" s="57"/>
      <c r="J21" s="177">
        <f t="shared" si="1"/>
        <v>19684</v>
      </c>
      <c r="K21" s="177">
        <f t="shared" si="2"/>
        <v>2953</v>
      </c>
      <c r="L21" s="57"/>
      <c r="M21" s="177">
        <f t="shared" si="3"/>
        <v>16731</v>
      </c>
    </row>
    <row r="22" spans="1:13" ht="12.75">
      <c r="A22" s="131"/>
      <c r="B22" s="57" t="s">
        <v>720</v>
      </c>
      <c r="C22" s="176">
        <v>0.15</v>
      </c>
      <c r="D22" s="57" t="s">
        <v>710</v>
      </c>
      <c r="E22" s="177">
        <v>2398</v>
      </c>
      <c r="F22" s="57"/>
      <c r="G22" s="177">
        <v>6239</v>
      </c>
      <c r="H22" s="177">
        <f t="shared" si="0"/>
        <v>6239</v>
      </c>
      <c r="I22" s="57"/>
      <c r="J22" s="177">
        <f t="shared" si="1"/>
        <v>8637</v>
      </c>
      <c r="K22" s="177">
        <f t="shared" si="2"/>
        <v>828</v>
      </c>
      <c r="L22" s="57"/>
      <c r="M22" s="177">
        <f t="shared" si="3"/>
        <v>7809</v>
      </c>
    </row>
    <row r="23" spans="1:13" ht="12.75">
      <c r="A23" s="131"/>
      <c r="B23" s="57" t="s">
        <v>721</v>
      </c>
      <c r="C23" s="176">
        <v>0.15</v>
      </c>
      <c r="D23" s="57" t="s">
        <v>710</v>
      </c>
      <c r="E23" s="177">
        <v>28351</v>
      </c>
      <c r="F23" s="57"/>
      <c r="G23" s="57"/>
      <c r="H23" s="177">
        <f t="shared" si="0"/>
        <v>0</v>
      </c>
      <c r="I23" s="57"/>
      <c r="J23" s="177">
        <f t="shared" si="1"/>
        <v>28351</v>
      </c>
      <c r="K23" s="177">
        <f t="shared" si="2"/>
        <v>4253</v>
      </c>
      <c r="L23" s="57"/>
      <c r="M23" s="177">
        <f t="shared" si="3"/>
        <v>24098</v>
      </c>
    </row>
    <row r="24" spans="1:13" ht="12.75">
      <c r="A24" s="131"/>
      <c r="B24" s="57" t="s">
        <v>722</v>
      </c>
      <c r="C24" s="176">
        <v>0.15</v>
      </c>
      <c r="D24" s="57" t="s">
        <v>710</v>
      </c>
      <c r="E24" s="177">
        <v>571</v>
      </c>
      <c r="F24" s="57"/>
      <c r="G24" s="57"/>
      <c r="H24" s="177">
        <f t="shared" si="0"/>
        <v>0</v>
      </c>
      <c r="I24" s="57"/>
      <c r="J24" s="177">
        <f t="shared" si="1"/>
        <v>571</v>
      </c>
      <c r="K24" s="177">
        <f t="shared" si="2"/>
        <v>86</v>
      </c>
      <c r="L24" s="57"/>
      <c r="M24" s="177">
        <f t="shared" si="3"/>
        <v>485</v>
      </c>
    </row>
    <row r="25" spans="1:13" ht="12.75">
      <c r="A25" s="131"/>
      <c r="B25" s="57" t="s">
        <v>723</v>
      </c>
      <c r="C25" s="176">
        <v>0.15</v>
      </c>
      <c r="D25" s="57" t="s">
        <v>710</v>
      </c>
      <c r="E25" s="177">
        <v>25359</v>
      </c>
      <c r="F25" s="57"/>
      <c r="G25" s="57"/>
      <c r="H25" s="177">
        <f t="shared" si="0"/>
        <v>0</v>
      </c>
      <c r="I25" s="57"/>
      <c r="J25" s="177">
        <f t="shared" si="1"/>
        <v>25359</v>
      </c>
      <c r="K25" s="177">
        <f t="shared" si="2"/>
        <v>3804</v>
      </c>
      <c r="L25" s="57"/>
      <c r="M25" s="177">
        <f t="shared" si="3"/>
        <v>21555</v>
      </c>
    </row>
    <row r="26" spans="1:13" ht="12.75">
      <c r="A26" s="131"/>
      <c r="B26" s="57" t="s">
        <v>724</v>
      </c>
      <c r="C26" s="176">
        <v>0.15</v>
      </c>
      <c r="D26" s="57" t="s">
        <v>710</v>
      </c>
      <c r="E26" s="177">
        <v>6998</v>
      </c>
      <c r="F26" s="57"/>
      <c r="G26" s="57"/>
      <c r="H26" s="177">
        <f t="shared" si="0"/>
        <v>0</v>
      </c>
      <c r="I26" s="57"/>
      <c r="J26" s="177">
        <f t="shared" si="1"/>
        <v>6998</v>
      </c>
      <c r="K26" s="177">
        <f t="shared" si="2"/>
        <v>1050</v>
      </c>
      <c r="L26" s="57"/>
      <c r="M26" s="177">
        <f t="shared" si="3"/>
        <v>5948</v>
      </c>
    </row>
    <row r="27" spans="1:13" ht="12.75">
      <c r="A27" s="131"/>
      <c r="B27" s="57" t="s">
        <v>725</v>
      </c>
      <c r="C27" s="176">
        <v>0.15</v>
      </c>
      <c r="D27" s="57" t="s">
        <v>710</v>
      </c>
      <c r="E27" s="177">
        <v>521</v>
      </c>
      <c r="F27" s="57"/>
      <c r="G27" s="57"/>
      <c r="H27" s="177">
        <f t="shared" si="0"/>
        <v>0</v>
      </c>
      <c r="I27" s="57"/>
      <c r="J27" s="177">
        <f t="shared" si="1"/>
        <v>521</v>
      </c>
      <c r="K27" s="177">
        <f t="shared" si="2"/>
        <v>78</v>
      </c>
      <c r="L27" s="57"/>
      <c r="M27" s="177">
        <f t="shared" si="3"/>
        <v>443</v>
      </c>
    </row>
    <row r="28" spans="1:13" ht="12.75">
      <c r="A28" s="131"/>
      <c r="B28" s="57" t="s">
        <v>726</v>
      </c>
      <c r="C28" s="176">
        <v>0.15</v>
      </c>
      <c r="D28" s="57" t="s">
        <v>710</v>
      </c>
      <c r="E28" s="177">
        <v>65025</v>
      </c>
      <c r="F28" s="57"/>
      <c r="G28" s="57"/>
      <c r="H28" s="177">
        <f t="shared" si="0"/>
        <v>0</v>
      </c>
      <c r="I28" s="57"/>
      <c r="J28" s="177">
        <f t="shared" si="1"/>
        <v>65025</v>
      </c>
      <c r="K28" s="177">
        <v>0</v>
      </c>
      <c r="L28" s="177">
        <v>65025</v>
      </c>
      <c r="M28" s="177">
        <v>0</v>
      </c>
    </row>
    <row r="29" spans="1:13" ht="12.75">
      <c r="A29" s="131"/>
      <c r="B29" s="57" t="s">
        <v>727</v>
      </c>
      <c r="C29" s="176">
        <v>0.15</v>
      </c>
      <c r="D29" s="57" t="s">
        <v>710</v>
      </c>
      <c r="E29" s="177">
        <v>1467</v>
      </c>
      <c r="F29" s="57"/>
      <c r="G29" s="57"/>
      <c r="H29" s="177">
        <f t="shared" si="0"/>
        <v>0</v>
      </c>
      <c r="I29" s="57"/>
      <c r="J29" s="177">
        <f t="shared" si="1"/>
        <v>1467</v>
      </c>
      <c r="K29" s="177">
        <v>0</v>
      </c>
      <c r="L29" s="177">
        <v>1467</v>
      </c>
      <c r="M29" s="177">
        <v>0</v>
      </c>
    </row>
    <row r="30" spans="1:13" ht="12.75">
      <c r="A30" s="131"/>
      <c r="B30" s="57" t="s">
        <v>728</v>
      </c>
      <c r="C30" s="176">
        <v>0.15</v>
      </c>
      <c r="D30" s="57" t="s">
        <v>710</v>
      </c>
      <c r="E30" s="177">
        <v>88200</v>
      </c>
      <c r="F30" s="57"/>
      <c r="G30" s="57"/>
      <c r="H30" s="177">
        <f t="shared" si="0"/>
        <v>0</v>
      </c>
      <c r="I30" s="57"/>
      <c r="J30" s="177">
        <f t="shared" si="1"/>
        <v>88200</v>
      </c>
      <c r="K30" s="177">
        <v>0</v>
      </c>
      <c r="L30" s="177">
        <v>88200</v>
      </c>
      <c r="M30" s="177">
        <v>0</v>
      </c>
    </row>
    <row r="31" spans="1:13" ht="12.75">
      <c r="A31" s="131"/>
      <c r="B31" s="57"/>
      <c r="C31" s="57"/>
      <c r="D31" s="57"/>
      <c r="E31" s="57"/>
      <c r="F31" s="57"/>
      <c r="G31" s="57"/>
      <c r="H31" s="177"/>
      <c r="I31" s="57"/>
      <c r="J31" s="177"/>
      <c r="K31" s="177"/>
      <c r="L31" s="57"/>
      <c r="M31" s="177"/>
    </row>
    <row r="32" spans="1:13" ht="12.75">
      <c r="A32" s="131"/>
      <c r="B32" s="122" t="s">
        <v>729</v>
      </c>
      <c r="C32" s="57"/>
      <c r="D32" s="57"/>
      <c r="E32" s="57"/>
      <c r="F32" s="57"/>
      <c r="G32" s="57"/>
      <c r="H32" s="177"/>
      <c r="I32" s="57"/>
      <c r="J32" s="57"/>
      <c r="K32" s="177"/>
      <c r="L32" s="57"/>
      <c r="M32" s="177"/>
    </row>
    <row r="33" spans="1:13" ht="12.75">
      <c r="A33" s="131"/>
      <c r="B33" s="57"/>
      <c r="C33" s="57"/>
      <c r="D33" s="57"/>
      <c r="E33" s="57"/>
      <c r="F33" s="57"/>
      <c r="G33" s="57"/>
      <c r="H33" s="177"/>
      <c r="I33" s="57"/>
      <c r="J33" s="57"/>
      <c r="K33" s="177"/>
      <c r="L33" s="57"/>
      <c r="M33" s="177"/>
    </row>
    <row r="34" spans="1:13" ht="12.75">
      <c r="A34" s="131"/>
      <c r="B34" s="57" t="s">
        <v>730</v>
      </c>
      <c r="C34" s="176">
        <v>0.1</v>
      </c>
      <c r="D34" s="57"/>
      <c r="E34" s="177">
        <v>1947658</v>
      </c>
      <c r="F34" s="57"/>
      <c r="G34" s="177">
        <v>3850</v>
      </c>
      <c r="H34" s="177">
        <f t="shared" si="0"/>
        <v>3850</v>
      </c>
      <c r="I34" s="57"/>
      <c r="J34" s="177">
        <f>E34+H34</f>
        <v>1951508</v>
      </c>
      <c r="K34" s="177">
        <f t="shared" si="2"/>
        <v>194958</v>
      </c>
      <c r="L34" s="177">
        <v>14932</v>
      </c>
      <c r="M34" s="177">
        <f t="shared" si="3"/>
        <v>1741618</v>
      </c>
    </row>
    <row r="35" spans="1:13" ht="12.75">
      <c r="A35" s="131"/>
      <c r="B35" s="57"/>
      <c r="C35" s="57"/>
      <c r="D35" s="57"/>
      <c r="E35" s="57"/>
      <c r="F35" s="57"/>
      <c r="G35" s="57"/>
      <c r="H35" s="177"/>
      <c r="I35" s="57"/>
      <c r="J35" s="177"/>
      <c r="K35" s="177"/>
      <c r="L35" s="57"/>
      <c r="M35" s="177"/>
    </row>
    <row r="36" spans="1:13" ht="12.75">
      <c r="A36" s="131"/>
      <c r="B36" s="122" t="s">
        <v>731</v>
      </c>
      <c r="C36" s="57"/>
      <c r="D36" s="57"/>
      <c r="E36" s="57"/>
      <c r="F36" s="57"/>
      <c r="G36" s="57"/>
      <c r="H36" s="177"/>
      <c r="I36" s="57"/>
      <c r="J36" s="177"/>
      <c r="K36" s="177"/>
      <c r="L36" s="57"/>
      <c r="M36" s="177"/>
    </row>
    <row r="37" spans="1:13" ht="12.75">
      <c r="A37" s="131"/>
      <c r="B37" s="57"/>
      <c r="C37" s="57"/>
      <c r="D37" s="57"/>
      <c r="E37" s="57"/>
      <c r="F37" s="57"/>
      <c r="G37" s="57"/>
      <c r="H37" s="177"/>
      <c r="I37" s="57"/>
      <c r="J37" s="177"/>
      <c r="K37" s="177"/>
      <c r="L37" s="57"/>
      <c r="M37" s="177"/>
    </row>
    <row r="38" spans="1:13" ht="12.75">
      <c r="A38" s="131"/>
      <c r="B38" s="57" t="s">
        <v>732</v>
      </c>
      <c r="C38" s="176">
        <v>0.1</v>
      </c>
      <c r="D38" s="57" t="s">
        <v>710</v>
      </c>
      <c r="E38" s="57"/>
      <c r="F38" s="177">
        <v>10000</v>
      </c>
      <c r="G38" s="57"/>
      <c r="H38" s="177">
        <f t="shared" si="0"/>
        <v>10000</v>
      </c>
      <c r="I38" s="57"/>
      <c r="J38" s="177">
        <f aca="true" t="shared" si="4" ref="J38:J46">E38+H38</f>
        <v>10000</v>
      </c>
      <c r="K38" s="177">
        <f t="shared" si="2"/>
        <v>1000</v>
      </c>
      <c r="L38" s="57"/>
      <c r="M38" s="177">
        <f t="shared" si="3"/>
        <v>9000</v>
      </c>
    </row>
    <row r="39" spans="1:13" ht="12.75">
      <c r="A39" s="131"/>
      <c r="B39" s="57" t="s">
        <v>733</v>
      </c>
      <c r="C39" s="176">
        <v>0.1</v>
      </c>
      <c r="D39" s="57" t="s">
        <v>710</v>
      </c>
      <c r="E39" s="177">
        <v>46049</v>
      </c>
      <c r="F39" s="57"/>
      <c r="G39" s="177">
        <v>500</v>
      </c>
      <c r="H39" s="177">
        <f t="shared" si="0"/>
        <v>500</v>
      </c>
      <c r="I39" s="57"/>
      <c r="J39" s="177">
        <f t="shared" si="4"/>
        <v>46549</v>
      </c>
      <c r="K39" s="177">
        <f t="shared" si="2"/>
        <v>4630</v>
      </c>
      <c r="L39" s="57"/>
      <c r="M39" s="177">
        <f t="shared" si="3"/>
        <v>41919</v>
      </c>
    </row>
    <row r="40" spans="1:13" ht="12.75">
      <c r="A40" s="131"/>
      <c r="B40" s="57" t="s">
        <v>734</v>
      </c>
      <c r="C40" s="176">
        <v>0.1</v>
      </c>
      <c r="D40" s="57" t="s">
        <v>710</v>
      </c>
      <c r="E40" s="177">
        <v>8091</v>
      </c>
      <c r="F40" s="177">
        <v>950</v>
      </c>
      <c r="G40" s="57"/>
      <c r="H40" s="177">
        <f t="shared" si="0"/>
        <v>950</v>
      </c>
      <c r="I40" s="57"/>
      <c r="J40" s="177">
        <f t="shared" si="4"/>
        <v>9041</v>
      </c>
      <c r="K40" s="177">
        <f t="shared" si="2"/>
        <v>904</v>
      </c>
      <c r="L40" s="57"/>
      <c r="M40" s="177">
        <f t="shared" si="3"/>
        <v>8137</v>
      </c>
    </row>
    <row r="41" spans="1:13" ht="12.75">
      <c r="A41" s="131"/>
      <c r="B41" s="57" t="s">
        <v>735</v>
      </c>
      <c r="C41" s="176">
        <v>0.1</v>
      </c>
      <c r="D41" s="57" t="s">
        <v>710</v>
      </c>
      <c r="E41" s="177">
        <f>23566+198898</f>
        <v>222464</v>
      </c>
      <c r="F41" s="177">
        <f>237615-950</f>
        <v>236665</v>
      </c>
      <c r="G41" s="177">
        <f>850+7650</f>
        <v>8500</v>
      </c>
      <c r="H41" s="177">
        <f t="shared" si="0"/>
        <v>245165</v>
      </c>
      <c r="I41" s="57"/>
      <c r="J41" s="177">
        <f t="shared" si="4"/>
        <v>467629</v>
      </c>
      <c r="K41" s="177">
        <v>43981</v>
      </c>
      <c r="L41" s="177">
        <v>23566</v>
      </c>
      <c r="M41" s="177">
        <f t="shared" si="3"/>
        <v>400082</v>
      </c>
    </row>
    <row r="42" spans="1:13" ht="12.75">
      <c r="A42" s="131"/>
      <c r="B42" s="57" t="s">
        <v>736</v>
      </c>
      <c r="C42" s="176">
        <v>0.1</v>
      </c>
      <c r="D42" s="57" t="s">
        <v>737</v>
      </c>
      <c r="E42" s="177">
        <v>439</v>
      </c>
      <c r="F42" s="57"/>
      <c r="G42" s="57"/>
      <c r="H42" s="177">
        <f>F42+G42</f>
        <v>0</v>
      </c>
      <c r="I42" s="57"/>
      <c r="J42" s="177"/>
      <c r="K42" s="177"/>
      <c r="L42" s="57"/>
      <c r="M42" s="177">
        <f>J42-K42-L42</f>
        <v>0</v>
      </c>
    </row>
    <row r="43" spans="1:13" ht="12.75">
      <c r="A43" s="131"/>
      <c r="B43" s="57"/>
      <c r="C43" s="57"/>
      <c r="D43" s="57"/>
      <c r="E43" s="57"/>
      <c r="F43" s="57"/>
      <c r="G43" s="57"/>
      <c r="H43" s="177"/>
      <c r="I43" s="57"/>
      <c r="J43" s="177"/>
      <c r="K43" s="177"/>
      <c r="L43" s="57"/>
      <c r="M43" s="177"/>
    </row>
    <row r="44" spans="1:13" ht="12.75">
      <c r="A44" s="131"/>
      <c r="B44" s="122" t="s">
        <v>738</v>
      </c>
      <c r="C44" s="57"/>
      <c r="D44" s="57"/>
      <c r="E44" s="57"/>
      <c r="F44" s="57"/>
      <c r="G44" s="57"/>
      <c r="H44" s="177"/>
      <c r="I44" s="57"/>
      <c r="J44" s="177"/>
      <c r="K44" s="177"/>
      <c r="L44" s="57"/>
      <c r="M44" s="177"/>
    </row>
    <row r="45" spans="1:13" ht="12.75">
      <c r="A45" s="131"/>
      <c r="B45" s="57"/>
      <c r="C45" s="57"/>
      <c r="D45" s="57"/>
      <c r="E45" s="57"/>
      <c r="F45" s="57"/>
      <c r="G45" s="57"/>
      <c r="H45" s="177"/>
      <c r="I45" s="57"/>
      <c r="J45" s="177"/>
      <c r="K45" s="177"/>
      <c r="L45" s="57"/>
      <c r="M45" s="177"/>
    </row>
    <row r="46" spans="1:13" ht="12.75">
      <c r="A46" s="131"/>
      <c r="B46" s="57" t="s">
        <v>739</v>
      </c>
      <c r="C46" s="178" t="s">
        <v>740</v>
      </c>
      <c r="D46" s="57" t="s">
        <v>710</v>
      </c>
      <c r="E46" s="177">
        <v>921760</v>
      </c>
      <c r="F46" s="57"/>
      <c r="G46" s="57"/>
      <c r="H46" s="177">
        <f t="shared" si="0"/>
        <v>0</v>
      </c>
      <c r="I46" s="57"/>
      <c r="J46" s="177">
        <f t="shared" si="4"/>
        <v>921760</v>
      </c>
      <c r="K46" s="177"/>
      <c r="L46" s="57"/>
      <c r="M46" s="177">
        <f t="shared" si="3"/>
        <v>921760</v>
      </c>
    </row>
    <row r="47" spans="1:13" ht="12.75">
      <c r="A47" s="131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3.5" thickBot="1">
      <c r="A48" s="97"/>
      <c r="B48" s="123" t="s">
        <v>741</v>
      </c>
      <c r="C48" s="179"/>
      <c r="D48" s="179"/>
      <c r="E48" s="124">
        <f>SUM(E9:E47)</f>
        <v>3623831</v>
      </c>
      <c r="F48" s="124">
        <f>SUM(F9:F47)</f>
        <v>270173</v>
      </c>
      <c r="G48" s="124">
        <f>SUM(G10:G47)</f>
        <v>93931</v>
      </c>
      <c r="H48" s="124">
        <f>SUM(H10:H47)</f>
        <v>364104</v>
      </c>
      <c r="I48" s="179"/>
      <c r="J48" s="124">
        <f>SUM(J10:J47)</f>
        <v>3987496</v>
      </c>
      <c r="K48" s="124">
        <f>SUM(K10:K47)</f>
        <v>353772</v>
      </c>
      <c r="L48" s="124">
        <f>SUM(L10:L47)</f>
        <v>201269</v>
      </c>
      <c r="M48" s="125">
        <f>SUM(M10:M47)</f>
        <v>3432455</v>
      </c>
    </row>
    <row r="49" spans="9:10" ht="13.5" thickTop="1">
      <c r="I49" s="131"/>
      <c r="J49" s="131"/>
    </row>
    <row r="50" spans="9:10" ht="12.75">
      <c r="I50" s="131"/>
      <c r="J50" s="131"/>
    </row>
    <row r="51" spans="9:10" ht="12.75">
      <c r="I51" s="131"/>
      <c r="J51" s="131"/>
    </row>
    <row r="52" spans="9:10" ht="12.75">
      <c r="I52" s="131"/>
      <c r="J52" s="131"/>
    </row>
    <row r="53" spans="9:10" ht="12.75">
      <c r="I53" s="131"/>
      <c r="J53" s="131"/>
    </row>
    <row r="54" spans="9:10" ht="12.75">
      <c r="I54" s="131"/>
      <c r="J54" s="131"/>
    </row>
    <row r="55" spans="9:10" ht="12.75">
      <c r="I55" s="131"/>
      <c r="J55" s="131"/>
    </row>
    <row r="56" ht="13.5" thickBot="1"/>
    <row r="57" spans="1:14" ht="13.5" thickBot="1">
      <c r="A57" s="97"/>
      <c r="B57" s="120" t="s">
        <v>742</v>
      </c>
      <c r="C57" s="120"/>
      <c r="D57" s="167"/>
      <c r="E57" s="167"/>
      <c r="F57" s="167"/>
      <c r="G57" s="167"/>
      <c r="H57" s="167"/>
      <c r="I57" s="167"/>
      <c r="J57" s="167"/>
      <c r="K57" s="167"/>
      <c r="L57" s="167"/>
      <c r="M57" s="119"/>
      <c r="N57" s="131"/>
    </row>
    <row r="58" spans="1:14" ht="39" thickBot="1">
      <c r="A58" s="97"/>
      <c r="B58" s="168" t="s">
        <v>696</v>
      </c>
      <c r="C58" s="169" t="s">
        <v>697</v>
      </c>
      <c r="D58" s="170" t="s">
        <v>698</v>
      </c>
      <c r="E58" s="170" t="s">
        <v>699</v>
      </c>
      <c r="F58" s="279" t="s">
        <v>700</v>
      </c>
      <c r="G58" s="280"/>
      <c r="H58" s="281"/>
      <c r="I58" s="171" t="s">
        <v>701</v>
      </c>
      <c r="J58" s="170" t="s">
        <v>702</v>
      </c>
      <c r="K58" s="170" t="s">
        <v>703</v>
      </c>
      <c r="L58" s="170" t="s">
        <v>704</v>
      </c>
      <c r="M58" s="121" t="s">
        <v>705</v>
      </c>
      <c r="N58" s="62"/>
    </row>
    <row r="59" spans="1:14" ht="12.75">
      <c r="A59" s="97"/>
      <c r="B59" s="131"/>
      <c r="C59" s="131"/>
      <c r="D59" s="131"/>
      <c r="E59" s="131"/>
      <c r="F59" s="162" t="s">
        <v>706</v>
      </c>
      <c r="G59" s="162" t="s">
        <v>707</v>
      </c>
      <c r="H59" s="162" t="s">
        <v>76</v>
      </c>
      <c r="I59" s="131"/>
      <c r="J59" s="131"/>
      <c r="K59" s="131"/>
      <c r="L59" s="131"/>
      <c r="M59" s="174"/>
      <c r="N59" s="131"/>
    </row>
    <row r="60" spans="1:13" ht="12.75">
      <c r="A60" s="131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2.75">
      <c r="A61" s="131"/>
      <c r="B61" s="175" t="s">
        <v>708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.75">
      <c r="A62" s="131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2.75">
      <c r="A63" s="131"/>
      <c r="B63" s="57" t="s">
        <v>743</v>
      </c>
      <c r="C63" s="176">
        <v>0.6</v>
      </c>
      <c r="D63" s="57" t="s">
        <v>737</v>
      </c>
      <c r="E63" s="177">
        <v>5768</v>
      </c>
      <c r="F63" s="57"/>
      <c r="G63" s="57"/>
      <c r="H63" s="57">
        <f>F63+G63</f>
        <v>0</v>
      </c>
      <c r="I63" s="57"/>
      <c r="J63" s="177">
        <f>E63+H63+I63</f>
        <v>5768</v>
      </c>
      <c r="K63" s="177">
        <f>ROUND(((E63+F63)*C63+G63*C63/2),0)</f>
        <v>3461</v>
      </c>
      <c r="L63" s="57"/>
      <c r="M63" s="177">
        <f>J63-K63-L63</f>
        <v>2307</v>
      </c>
    </row>
    <row r="64" spans="1:13" ht="12.75">
      <c r="A64" s="131"/>
      <c r="B64" s="57" t="s">
        <v>744</v>
      </c>
      <c r="C64" s="176">
        <v>0.6</v>
      </c>
      <c r="D64" s="57" t="s">
        <v>737</v>
      </c>
      <c r="E64" s="177"/>
      <c r="F64" s="177">
        <v>640</v>
      </c>
      <c r="G64" s="57"/>
      <c r="H64" s="177">
        <f aca="true" t="shared" si="5" ref="H64:H81">F64+G64</f>
        <v>640</v>
      </c>
      <c r="I64" s="57"/>
      <c r="J64" s="177">
        <f aca="true" t="shared" si="6" ref="J64:J81">E64+H64+I64</f>
        <v>640</v>
      </c>
      <c r="K64" s="177">
        <f>ROUND(((E64+F64)*C64+G64*C64/2),0)</f>
        <v>384</v>
      </c>
      <c r="L64" s="57"/>
      <c r="M64" s="177">
        <f aca="true" t="shared" si="7" ref="M64:M81">J64-K64-L64</f>
        <v>256</v>
      </c>
    </row>
    <row r="65" spans="1:13" ht="12.75">
      <c r="A65" s="131"/>
      <c r="B65" s="57" t="s">
        <v>745</v>
      </c>
      <c r="C65" s="176">
        <v>0.6</v>
      </c>
      <c r="D65" s="57" t="s">
        <v>737</v>
      </c>
      <c r="E65" s="177">
        <v>9800</v>
      </c>
      <c r="F65" s="177"/>
      <c r="G65" s="57"/>
      <c r="H65" s="177">
        <f t="shared" si="5"/>
        <v>0</v>
      </c>
      <c r="I65" s="57"/>
      <c r="J65" s="177">
        <f t="shared" si="6"/>
        <v>9800</v>
      </c>
      <c r="K65" s="177">
        <v>0</v>
      </c>
      <c r="L65" s="177">
        <v>9800</v>
      </c>
      <c r="M65" s="177">
        <v>0</v>
      </c>
    </row>
    <row r="66" spans="1:13" ht="12.75">
      <c r="A66" s="131"/>
      <c r="B66" s="57"/>
      <c r="C66" s="57"/>
      <c r="D66" s="57"/>
      <c r="E66" s="57"/>
      <c r="F66" s="57"/>
      <c r="G66" s="57"/>
      <c r="H66" s="57"/>
      <c r="I66" s="57"/>
      <c r="J66" s="177"/>
      <c r="K66" s="177"/>
      <c r="L66" s="57"/>
      <c r="M66" s="177"/>
    </row>
    <row r="67" spans="1:13" ht="12.75">
      <c r="A67" s="131"/>
      <c r="B67" s="122" t="s">
        <v>714</v>
      </c>
      <c r="C67" s="57"/>
      <c r="D67" s="57"/>
      <c r="E67" s="57"/>
      <c r="F67" s="57"/>
      <c r="G67" s="57"/>
      <c r="H67" s="57"/>
      <c r="I67" s="57"/>
      <c r="J67" s="177"/>
      <c r="K67" s="177"/>
      <c r="L67" s="57"/>
      <c r="M67" s="177"/>
    </row>
    <row r="68" spans="1:13" ht="12.75">
      <c r="A68" s="131"/>
      <c r="B68" s="57"/>
      <c r="C68" s="57"/>
      <c r="D68" s="57"/>
      <c r="E68" s="57"/>
      <c r="F68" s="57"/>
      <c r="G68" s="57"/>
      <c r="H68" s="57"/>
      <c r="I68" s="57"/>
      <c r="J68" s="177"/>
      <c r="K68" s="177"/>
      <c r="L68" s="57"/>
      <c r="M68" s="177"/>
    </row>
    <row r="69" spans="1:13" ht="12.75">
      <c r="A69" s="131"/>
      <c r="B69" s="57" t="s">
        <v>726</v>
      </c>
      <c r="C69" s="176">
        <v>0.15</v>
      </c>
      <c r="D69" s="57" t="s">
        <v>737</v>
      </c>
      <c r="E69" s="177"/>
      <c r="F69" s="177">
        <v>65025</v>
      </c>
      <c r="G69" s="57"/>
      <c r="H69" s="177">
        <f t="shared" si="5"/>
        <v>65025</v>
      </c>
      <c r="I69" s="57"/>
      <c r="J69" s="177">
        <f t="shared" si="6"/>
        <v>65025</v>
      </c>
      <c r="K69" s="177">
        <f>ROUND(((E69+F69)*C69+G69*C69/2),0)</f>
        <v>9754</v>
      </c>
      <c r="L69" s="57"/>
      <c r="M69" s="177">
        <f t="shared" si="7"/>
        <v>55271</v>
      </c>
    </row>
    <row r="70" spans="1:13" ht="12.75">
      <c r="A70" s="131"/>
      <c r="B70" s="57" t="s">
        <v>746</v>
      </c>
      <c r="C70" s="176">
        <v>0.15</v>
      </c>
      <c r="D70" s="57" t="s">
        <v>737</v>
      </c>
      <c r="E70" s="177"/>
      <c r="F70" s="177">
        <f>20884+1467</f>
        <v>22351</v>
      </c>
      <c r="G70" s="57"/>
      <c r="H70" s="177">
        <f t="shared" si="5"/>
        <v>22351</v>
      </c>
      <c r="I70" s="57"/>
      <c r="J70" s="177">
        <f t="shared" si="6"/>
        <v>22351</v>
      </c>
      <c r="K70" s="177">
        <f>ROUND(((E70+F70)*C70+G70*C70/2),0)</f>
        <v>3353</v>
      </c>
      <c r="L70" s="57"/>
      <c r="M70" s="177">
        <f t="shared" si="7"/>
        <v>18998</v>
      </c>
    </row>
    <row r="71" spans="1:13" ht="12.75">
      <c r="A71" s="131"/>
      <c r="B71" s="57" t="s">
        <v>747</v>
      </c>
      <c r="C71" s="176">
        <v>0.15</v>
      </c>
      <c r="D71" s="57" t="s">
        <v>737</v>
      </c>
      <c r="E71" s="177">
        <v>4080</v>
      </c>
      <c r="F71" s="57">
        <f>88200+9000</f>
        <v>97200</v>
      </c>
      <c r="G71" s="57"/>
      <c r="H71" s="177">
        <f t="shared" si="5"/>
        <v>97200</v>
      </c>
      <c r="I71" s="57"/>
      <c r="J71" s="177">
        <f t="shared" si="6"/>
        <v>101280</v>
      </c>
      <c r="K71" s="177">
        <f>ROUND(((E71+F71)*C71+G71*C71/2),0)</f>
        <v>15192</v>
      </c>
      <c r="L71" s="57"/>
      <c r="M71" s="177">
        <f t="shared" si="7"/>
        <v>86088</v>
      </c>
    </row>
    <row r="72" spans="1:13" ht="12.75">
      <c r="A72" s="131"/>
      <c r="B72" s="57" t="s">
        <v>748</v>
      </c>
      <c r="C72" s="176">
        <v>0.15</v>
      </c>
      <c r="D72" s="57"/>
      <c r="E72" s="177">
        <v>9000</v>
      </c>
      <c r="F72" s="57"/>
      <c r="G72" s="57"/>
      <c r="H72" s="177">
        <f t="shared" si="5"/>
        <v>0</v>
      </c>
      <c r="I72" s="57"/>
      <c r="J72" s="177">
        <f t="shared" si="6"/>
        <v>9000</v>
      </c>
      <c r="K72" s="177">
        <v>0</v>
      </c>
      <c r="L72" s="57">
        <v>9000</v>
      </c>
      <c r="M72" s="177">
        <v>0</v>
      </c>
    </row>
    <row r="73" spans="1:13" ht="12.75">
      <c r="A73" s="131"/>
      <c r="B73" s="57" t="s">
        <v>749</v>
      </c>
      <c r="C73" s="176">
        <v>0.15</v>
      </c>
      <c r="D73" s="57"/>
      <c r="E73" s="177"/>
      <c r="F73" s="177">
        <v>88200</v>
      </c>
      <c r="G73" s="57"/>
      <c r="H73" s="177">
        <f t="shared" si="5"/>
        <v>88200</v>
      </c>
      <c r="I73" s="57"/>
      <c r="J73" s="177">
        <f t="shared" si="6"/>
        <v>88200</v>
      </c>
      <c r="K73" s="177">
        <v>0</v>
      </c>
      <c r="L73" s="177">
        <v>88200</v>
      </c>
      <c r="M73" s="177">
        <v>0</v>
      </c>
    </row>
    <row r="74" spans="1:13" ht="12.75">
      <c r="A74" s="131"/>
      <c r="B74" s="57"/>
      <c r="C74" s="57"/>
      <c r="D74" s="57"/>
      <c r="E74" s="57"/>
      <c r="F74" s="57"/>
      <c r="G74" s="57"/>
      <c r="H74" s="177"/>
      <c r="I74" s="57"/>
      <c r="J74" s="177"/>
      <c r="K74" s="177">
        <v>0</v>
      </c>
      <c r="L74" s="57"/>
      <c r="M74" s="177"/>
    </row>
    <row r="75" spans="1:13" ht="12.75">
      <c r="A75" s="131"/>
      <c r="B75" s="122" t="s">
        <v>729</v>
      </c>
      <c r="C75" s="57"/>
      <c r="D75" s="57"/>
      <c r="E75" s="57"/>
      <c r="F75" s="57"/>
      <c r="G75" s="57"/>
      <c r="H75" s="177"/>
      <c r="I75" s="57"/>
      <c r="J75" s="177"/>
      <c r="K75" s="177">
        <v>0</v>
      </c>
      <c r="L75" s="57"/>
      <c r="M75" s="177"/>
    </row>
    <row r="76" spans="1:13" ht="12.75">
      <c r="A76" s="131"/>
      <c r="B76" s="57"/>
      <c r="C76" s="57"/>
      <c r="D76" s="57"/>
      <c r="E76" s="57"/>
      <c r="F76" s="177">
        <v>439</v>
      </c>
      <c r="G76" s="57"/>
      <c r="H76" s="177">
        <f t="shared" si="5"/>
        <v>439</v>
      </c>
      <c r="I76" s="57"/>
      <c r="J76" s="177">
        <f t="shared" si="6"/>
        <v>439</v>
      </c>
      <c r="K76" s="177">
        <v>44</v>
      </c>
      <c r="L76" s="177"/>
      <c r="M76" s="177">
        <f t="shared" si="7"/>
        <v>395</v>
      </c>
    </row>
    <row r="77" spans="1:13" ht="12.75">
      <c r="A77" s="157"/>
      <c r="B77" s="57" t="s">
        <v>750</v>
      </c>
      <c r="C77" s="180">
        <v>0.1</v>
      </c>
      <c r="D77" s="74" t="s">
        <v>737</v>
      </c>
      <c r="E77" s="57"/>
      <c r="F77" s="57"/>
      <c r="G77" s="57"/>
      <c r="I77" s="57"/>
      <c r="J77" s="57"/>
      <c r="K77" s="181"/>
      <c r="L77" s="57"/>
      <c r="M77" s="57"/>
    </row>
    <row r="78" spans="1:13" ht="12.75">
      <c r="A78" s="131"/>
      <c r="B78" s="57" t="s">
        <v>751</v>
      </c>
      <c r="C78" s="176">
        <v>0.1</v>
      </c>
      <c r="D78" s="57" t="s">
        <v>737</v>
      </c>
      <c r="E78" s="177">
        <v>2835</v>
      </c>
      <c r="F78" s="182"/>
      <c r="G78" s="57"/>
      <c r="H78" s="177">
        <f t="shared" si="5"/>
        <v>0</v>
      </c>
      <c r="I78" s="57"/>
      <c r="J78" s="177">
        <f t="shared" si="6"/>
        <v>2835</v>
      </c>
      <c r="K78" s="177">
        <f>ROUND(((E78+F78)*C78+G78*C78/2),0)</f>
        <v>284</v>
      </c>
      <c r="L78" s="57"/>
      <c r="M78" s="177">
        <f t="shared" si="7"/>
        <v>2551</v>
      </c>
    </row>
    <row r="79" spans="1:13" ht="12.75">
      <c r="A79" s="131"/>
      <c r="B79" s="57" t="s">
        <v>752</v>
      </c>
      <c r="C79" s="176">
        <v>0.1</v>
      </c>
      <c r="D79" s="57" t="s">
        <v>737</v>
      </c>
      <c r="E79" s="177"/>
      <c r="F79" s="177">
        <f>4184+20000+23566</f>
        <v>47750</v>
      </c>
      <c r="G79" s="57"/>
      <c r="H79" s="177">
        <f t="shared" si="5"/>
        <v>47750</v>
      </c>
      <c r="I79" s="57"/>
      <c r="J79" s="177">
        <f t="shared" si="6"/>
        <v>47750</v>
      </c>
      <c r="K79" s="177">
        <f>ROUND(((E79+F79)*C79+G79*C79/2),0)</f>
        <v>4775</v>
      </c>
      <c r="L79" s="57"/>
      <c r="M79" s="177">
        <f t="shared" si="7"/>
        <v>42975</v>
      </c>
    </row>
    <row r="80" spans="1:13" ht="12.75">
      <c r="A80" s="131"/>
      <c r="B80" s="57"/>
      <c r="C80" s="57"/>
      <c r="D80" s="57"/>
      <c r="E80" s="57"/>
      <c r="F80" s="57"/>
      <c r="G80" s="57"/>
      <c r="H80" s="177">
        <f t="shared" si="5"/>
        <v>0</v>
      </c>
      <c r="I80" s="57"/>
      <c r="J80" s="177">
        <f t="shared" si="6"/>
        <v>0</v>
      </c>
      <c r="K80" s="177">
        <f>ROUND(((E80+F80)*C80+G80*C80/2),0)</f>
        <v>0</v>
      </c>
      <c r="L80" s="57"/>
      <c r="M80" s="177">
        <f t="shared" si="7"/>
        <v>0</v>
      </c>
    </row>
    <row r="81" spans="1:13" ht="12.75">
      <c r="A81" s="131"/>
      <c r="B81" s="57"/>
      <c r="C81" s="57"/>
      <c r="D81" s="57"/>
      <c r="E81" s="57"/>
      <c r="F81" s="57"/>
      <c r="G81" s="57"/>
      <c r="H81" s="177">
        <f t="shared" si="5"/>
        <v>0</v>
      </c>
      <c r="I81" s="57"/>
      <c r="J81" s="177">
        <f t="shared" si="6"/>
        <v>0</v>
      </c>
      <c r="K81" s="177">
        <f>ROUND(((E81+F81)*C81+G81*C81/2),0)</f>
        <v>0</v>
      </c>
      <c r="L81" s="57"/>
      <c r="M81" s="177">
        <f t="shared" si="7"/>
        <v>0</v>
      </c>
    </row>
    <row r="82" spans="1:13" s="27" customFormat="1" ht="13.5" thickBot="1">
      <c r="A82" s="98"/>
      <c r="B82" s="123" t="s">
        <v>753</v>
      </c>
      <c r="C82" s="126"/>
      <c r="D82" s="126"/>
      <c r="E82" s="124">
        <f>SUM(E63:E81)</f>
        <v>31483</v>
      </c>
      <c r="F82" s="124">
        <f>SUM(F63:F81)</f>
        <v>321605</v>
      </c>
      <c r="G82" s="126"/>
      <c r="H82" s="124">
        <f>SUM(H63:H81)</f>
        <v>321605</v>
      </c>
      <c r="I82" s="126"/>
      <c r="J82" s="124">
        <f>SUM(J63:J81)</f>
        <v>353088</v>
      </c>
      <c r="K82" s="124">
        <f>SUM(K63:K81)</f>
        <v>37247</v>
      </c>
      <c r="L82" s="124">
        <f>SUM(L60:L81)</f>
        <v>107000</v>
      </c>
      <c r="M82" s="125">
        <f>SUM(M63:M81)</f>
        <v>208841</v>
      </c>
    </row>
    <row r="83" spans="1:13" ht="13.5" thickTop="1">
      <c r="A83" s="131"/>
      <c r="B83" s="131"/>
      <c r="C83" s="131"/>
      <c r="D83" s="131"/>
      <c r="E83" s="131"/>
      <c r="F83" s="131"/>
      <c r="G83" s="131"/>
      <c r="H83" s="131"/>
      <c r="I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I84" s="131"/>
      <c r="L84" s="131"/>
      <c r="M84" s="131"/>
    </row>
    <row r="85" spans="1:9" ht="12.75">
      <c r="A85" s="131"/>
      <c r="B85" s="131"/>
      <c r="C85" s="131"/>
      <c r="D85" s="131"/>
      <c r="E85" s="131"/>
      <c r="F85" s="131"/>
      <c r="G85" s="131"/>
      <c r="I85" s="131"/>
    </row>
    <row r="86" spans="1:9" ht="12.75">
      <c r="A86" s="131"/>
      <c r="B86" s="131"/>
      <c r="C86" s="131"/>
      <c r="D86" s="131"/>
      <c r="E86" s="131"/>
      <c r="F86" s="131"/>
      <c r="G86" s="131"/>
      <c r="I86" s="131"/>
    </row>
    <row r="87" spans="1:7" ht="12.75">
      <c r="A87" s="131"/>
      <c r="B87" s="131"/>
      <c r="C87" s="131"/>
      <c r="D87" s="131"/>
      <c r="E87" s="131"/>
      <c r="F87" s="131"/>
      <c r="G87" s="131"/>
    </row>
    <row r="88" spans="1:7" ht="12.75">
      <c r="A88" s="131"/>
      <c r="B88" s="131"/>
      <c r="C88" s="131"/>
      <c r="D88" s="131"/>
      <c r="E88" s="131"/>
      <c r="F88" s="131"/>
      <c r="G88" s="131"/>
    </row>
    <row r="89" spans="1:7" ht="12.75">
      <c r="A89" s="131"/>
      <c r="B89" s="131"/>
      <c r="C89" s="131"/>
      <c r="D89" s="131"/>
      <c r="E89" s="131"/>
      <c r="F89" s="131"/>
      <c r="G89" s="131"/>
    </row>
    <row r="90" spans="1:7" ht="12.75">
      <c r="A90" s="131"/>
      <c r="B90" s="131"/>
      <c r="C90" s="131"/>
      <c r="D90" s="131"/>
      <c r="E90" s="131"/>
      <c r="F90" s="131"/>
      <c r="G90" s="131"/>
    </row>
    <row r="91" spans="2:7" ht="12.75">
      <c r="B91" s="131"/>
      <c r="C91" s="131"/>
      <c r="D91" s="131"/>
      <c r="E91" s="131"/>
      <c r="F91" s="131"/>
      <c r="G91" s="131"/>
    </row>
    <row r="92" ht="12.75">
      <c r="F92" s="131"/>
    </row>
  </sheetData>
  <sheetProtection/>
  <mergeCells count="2">
    <mergeCell ref="F5:H5"/>
    <mergeCell ref="F58:H58"/>
  </mergeCells>
  <printOptions/>
  <pageMargins left="0.1968503937007874" right="0.11811023622047245" top="0.35433070866141736" bottom="0.2362204724409449" header="0.31496062992125984" footer="0.15748031496062992"/>
  <pageSetup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5.140625" style="0" customWidth="1"/>
    <col min="2" max="3" width="10.421875" style="0" customWidth="1"/>
    <col min="4" max="4" width="15.140625" style="0" customWidth="1"/>
    <col min="5" max="5" width="8.421875" style="0" customWidth="1"/>
    <col min="6" max="6" width="10.28125" style="0" customWidth="1"/>
    <col min="7" max="7" width="10.8515625" style="0" customWidth="1"/>
    <col min="9" max="11" width="9.7109375" style="0" customWidth="1"/>
    <col min="12" max="12" width="11.28125" style="0" customWidth="1"/>
    <col min="13" max="13" width="12.57421875" style="257" bestFit="1" customWidth="1"/>
    <col min="14" max="14" width="10.8515625" style="257" bestFit="1" customWidth="1"/>
    <col min="15" max="15" width="9.28125" style="257" customWidth="1"/>
    <col min="16" max="18" width="9.57421875" style="257" bestFit="1" customWidth="1"/>
    <col min="19" max="19" width="10.28125" style="257" customWidth="1"/>
    <col min="20" max="23" width="9.57421875" style="257" bestFit="1" customWidth="1"/>
    <col min="24" max="24" width="11.28125" style="257" customWidth="1"/>
    <col min="25" max="25" width="9.140625" style="257" customWidth="1"/>
  </cols>
  <sheetData>
    <row r="2" spans="5:24" ht="12.75">
      <c r="E2" t="s">
        <v>853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4" spans="2:12" ht="12.75">
      <c r="B4" t="s">
        <v>854</v>
      </c>
      <c r="C4" t="s">
        <v>855</v>
      </c>
      <c r="D4" t="s">
        <v>856</v>
      </c>
      <c r="E4" t="s">
        <v>857</v>
      </c>
      <c r="F4" t="s">
        <v>858</v>
      </c>
      <c r="G4" t="s">
        <v>859</v>
      </c>
      <c r="H4" t="s">
        <v>860</v>
      </c>
      <c r="I4" t="s">
        <v>861</v>
      </c>
      <c r="J4" t="s">
        <v>862</v>
      </c>
      <c r="K4" t="s">
        <v>95</v>
      </c>
      <c r="L4" t="s">
        <v>863</v>
      </c>
    </row>
    <row r="5" spans="2:12" ht="12.75">
      <c r="B5" t="s">
        <v>864</v>
      </c>
      <c r="C5" t="s">
        <v>865</v>
      </c>
      <c r="D5" t="s">
        <v>866</v>
      </c>
      <c r="F5" t="s">
        <v>867</v>
      </c>
      <c r="G5" t="s">
        <v>865</v>
      </c>
      <c r="I5" t="s">
        <v>863</v>
      </c>
      <c r="J5" t="s">
        <v>866</v>
      </c>
      <c r="K5" t="s">
        <v>868</v>
      </c>
      <c r="L5" t="s">
        <v>865</v>
      </c>
    </row>
    <row r="6" spans="1:24" ht="12.75">
      <c r="A6">
        <v>1</v>
      </c>
      <c r="B6">
        <v>607913</v>
      </c>
      <c r="C6" s="258">
        <v>41100</v>
      </c>
      <c r="D6" s="258">
        <f aca="true" t="shared" si="0" ref="D6:D21">G6-C6</f>
        <v>5158</v>
      </c>
      <c r="E6">
        <v>675808</v>
      </c>
      <c r="F6" t="s">
        <v>869</v>
      </c>
      <c r="G6" s="258">
        <v>46258</v>
      </c>
      <c r="H6" s="196" t="s">
        <v>870</v>
      </c>
      <c r="I6" t="s">
        <v>871</v>
      </c>
      <c r="J6" s="196" t="s">
        <v>872</v>
      </c>
      <c r="K6" s="196">
        <v>36</v>
      </c>
      <c r="L6" s="258">
        <v>63128</v>
      </c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2.75">
      <c r="A7">
        <v>2</v>
      </c>
      <c r="B7">
        <v>65348</v>
      </c>
      <c r="C7" s="258">
        <v>45000</v>
      </c>
      <c r="D7" s="258">
        <f t="shared" si="0"/>
        <v>4638</v>
      </c>
      <c r="E7">
        <v>675807</v>
      </c>
      <c r="F7" t="s">
        <v>869</v>
      </c>
      <c r="G7" s="258">
        <v>49638</v>
      </c>
      <c r="H7" s="196" t="s">
        <v>870</v>
      </c>
      <c r="I7" t="s">
        <v>871</v>
      </c>
      <c r="J7" s="196" t="s">
        <v>872</v>
      </c>
      <c r="K7" s="196">
        <v>36</v>
      </c>
      <c r="L7" s="258">
        <v>67741</v>
      </c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2.75">
      <c r="A8">
        <v>3</v>
      </c>
      <c r="B8">
        <v>607913</v>
      </c>
      <c r="C8" s="258">
        <v>25000</v>
      </c>
      <c r="D8" s="258">
        <f t="shared" si="0"/>
        <v>931</v>
      </c>
      <c r="E8">
        <v>675806</v>
      </c>
      <c r="F8" t="s">
        <v>869</v>
      </c>
      <c r="G8" s="258">
        <v>25931</v>
      </c>
      <c r="H8" s="196" t="s">
        <v>870</v>
      </c>
      <c r="I8" t="s">
        <v>871</v>
      </c>
      <c r="J8" s="196" t="s">
        <v>872</v>
      </c>
      <c r="K8" s="196">
        <v>36</v>
      </c>
      <c r="L8" s="75">
        <v>35388</v>
      </c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2.75">
      <c r="A9">
        <v>4</v>
      </c>
      <c r="B9">
        <v>607083</v>
      </c>
      <c r="C9" s="258">
        <v>200000</v>
      </c>
      <c r="D9" s="258">
        <f t="shared" si="0"/>
        <v>23746</v>
      </c>
      <c r="E9">
        <v>675854</v>
      </c>
      <c r="F9" t="s">
        <v>873</v>
      </c>
      <c r="G9" s="258">
        <v>223746</v>
      </c>
      <c r="H9" s="196" t="s">
        <v>870</v>
      </c>
      <c r="I9" t="s">
        <v>874</v>
      </c>
      <c r="J9" s="196" t="s">
        <v>872</v>
      </c>
      <c r="K9" s="196">
        <v>36</v>
      </c>
      <c r="L9" s="75">
        <v>305347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2.75">
      <c r="A10">
        <v>5</v>
      </c>
      <c r="B10">
        <v>607084</v>
      </c>
      <c r="C10" s="258">
        <v>200000</v>
      </c>
      <c r="D10" s="258">
        <f t="shared" si="0"/>
        <v>23746</v>
      </c>
      <c r="E10">
        <v>675851</v>
      </c>
      <c r="F10" t="s">
        <v>875</v>
      </c>
      <c r="G10" s="258">
        <v>223746</v>
      </c>
      <c r="H10" s="196" t="s">
        <v>870</v>
      </c>
      <c r="I10" t="s">
        <v>876</v>
      </c>
      <c r="J10" s="196" t="s">
        <v>872</v>
      </c>
      <c r="K10" s="196">
        <v>36</v>
      </c>
      <c r="L10" s="75">
        <v>305347</v>
      </c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2.75">
      <c r="A11">
        <v>6</v>
      </c>
      <c r="B11">
        <v>607143</v>
      </c>
      <c r="C11" s="258">
        <v>200000</v>
      </c>
      <c r="D11" s="258">
        <f t="shared" si="0"/>
        <v>23199</v>
      </c>
      <c r="E11">
        <v>675852</v>
      </c>
      <c r="F11" t="s">
        <v>877</v>
      </c>
      <c r="G11" s="258">
        <v>223199</v>
      </c>
      <c r="H11" s="196" t="s">
        <v>870</v>
      </c>
      <c r="I11" t="s">
        <v>878</v>
      </c>
      <c r="J11" s="196" t="s">
        <v>872</v>
      </c>
      <c r="K11" s="196">
        <v>36</v>
      </c>
      <c r="L11" s="75">
        <v>304600</v>
      </c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</row>
    <row r="12" spans="1:24" ht="12.75">
      <c r="A12">
        <v>7</v>
      </c>
      <c r="B12">
        <v>607144</v>
      </c>
      <c r="C12" s="258">
        <v>200000</v>
      </c>
      <c r="D12" s="258">
        <f t="shared" si="0"/>
        <v>23199</v>
      </c>
      <c r="E12">
        <v>675853</v>
      </c>
      <c r="F12" t="s">
        <v>874</v>
      </c>
      <c r="G12" s="258">
        <v>223199</v>
      </c>
      <c r="H12" s="196" t="s">
        <v>870</v>
      </c>
      <c r="I12" t="s">
        <v>879</v>
      </c>
      <c r="J12" s="196" t="s">
        <v>872</v>
      </c>
      <c r="K12" s="196">
        <v>36</v>
      </c>
      <c r="L12" s="75">
        <v>304600</v>
      </c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</row>
    <row r="13" spans="1:24" ht="12.75">
      <c r="A13">
        <v>8</v>
      </c>
      <c r="B13">
        <v>607175</v>
      </c>
      <c r="C13" s="258">
        <v>200000</v>
      </c>
      <c r="D13" s="258">
        <f t="shared" si="0"/>
        <v>23053</v>
      </c>
      <c r="E13">
        <v>675850</v>
      </c>
      <c r="F13" t="s">
        <v>876</v>
      </c>
      <c r="G13" s="258">
        <v>223053</v>
      </c>
      <c r="H13" s="196" t="s">
        <v>870</v>
      </c>
      <c r="I13" t="s">
        <v>880</v>
      </c>
      <c r="J13" s="196" t="s">
        <v>872</v>
      </c>
      <c r="K13" s="196">
        <v>36</v>
      </c>
      <c r="L13" s="75">
        <v>304401</v>
      </c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</row>
    <row r="14" spans="1:24" ht="12.75">
      <c r="A14">
        <v>9</v>
      </c>
      <c r="B14">
        <v>607176</v>
      </c>
      <c r="C14" s="258">
        <v>200000</v>
      </c>
      <c r="D14" s="258">
        <f t="shared" si="0"/>
        <v>23053</v>
      </c>
      <c r="E14">
        <v>675849</v>
      </c>
      <c r="F14" t="s">
        <v>878</v>
      </c>
      <c r="G14" s="258">
        <v>223053</v>
      </c>
      <c r="H14" s="196" t="s">
        <v>870</v>
      </c>
      <c r="I14" t="s">
        <v>881</v>
      </c>
      <c r="J14" s="196" t="s">
        <v>872</v>
      </c>
      <c r="K14" s="196">
        <v>36</v>
      </c>
      <c r="L14" s="75">
        <v>304401</v>
      </c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12.75">
      <c r="A15">
        <v>11</v>
      </c>
      <c r="B15" s="260">
        <v>65488</v>
      </c>
      <c r="C15" s="258">
        <v>153334</v>
      </c>
      <c r="D15" s="258">
        <f t="shared" si="0"/>
        <v>13557</v>
      </c>
      <c r="E15">
        <v>675805</v>
      </c>
      <c r="F15" t="s">
        <v>869</v>
      </c>
      <c r="G15" s="258">
        <v>166891</v>
      </c>
      <c r="H15" s="196" t="s">
        <v>870</v>
      </c>
      <c r="I15" t="s">
        <v>871</v>
      </c>
      <c r="J15" s="196" t="s">
        <v>872</v>
      </c>
      <c r="K15" s="196">
        <v>36</v>
      </c>
      <c r="L15" s="75">
        <v>227757</v>
      </c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</row>
    <row r="16" spans="1:24" ht="12.75">
      <c r="A16">
        <v>12</v>
      </c>
      <c r="B16" s="260">
        <v>65491</v>
      </c>
      <c r="C16" s="258">
        <v>204416</v>
      </c>
      <c r="D16" s="258">
        <f t="shared" si="0"/>
        <v>18075</v>
      </c>
      <c r="E16" s="261" t="s">
        <v>882</v>
      </c>
      <c r="F16" t="s">
        <v>869</v>
      </c>
      <c r="G16" s="258">
        <v>222491</v>
      </c>
      <c r="H16" s="196" t="s">
        <v>870</v>
      </c>
      <c r="I16" t="s">
        <v>871</v>
      </c>
      <c r="J16" s="196" t="s">
        <v>872</v>
      </c>
      <c r="K16" s="196">
        <v>36</v>
      </c>
      <c r="L16" s="75">
        <v>303634</v>
      </c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</row>
    <row r="17" spans="1:24" ht="12.75">
      <c r="A17">
        <v>13</v>
      </c>
      <c r="B17" s="260">
        <v>65489</v>
      </c>
      <c r="C17" s="258">
        <v>86635</v>
      </c>
      <c r="D17" s="258">
        <f t="shared" si="0"/>
        <v>7660</v>
      </c>
      <c r="E17" s="261" t="s">
        <v>883</v>
      </c>
      <c r="F17" t="s">
        <v>869</v>
      </c>
      <c r="G17" s="258">
        <v>94295</v>
      </c>
      <c r="H17" s="196" t="s">
        <v>870</v>
      </c>
      <c r="I17" t="s">
        <v>871</v>
      </c>
      <c r="J17" s="196" t="s">
        <v>872</v>
      </c>
      <c r="K17" s="196">
        <v>36</v>
      </c>
      <c r="L17" s="75">
        <v>128685</v>
      </c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4" ht="12.75">
      <c r="A18">
        <v>14</v>
      </c>
      <c r="B18" s="260">
        <v>732346</v>
      </c>
      <c r="C18" s="258">
        <v>91125</v>
      </c>
      <c r="D18" s="258">
        <f t="shared" si="0"/>
        <v>0</v>
      </c>
      <c r="E18" s="261" t="s">
        <v>884</v>
      </c>
      <c r="F18" t="s">
        <v>885</v>
      </c>
      <c r="G18" s="258">
        <v>91125</v>
      </c>
      <c r="H18" s="196" t="s">
        <v>870</v>
      </c>
      <c r="I18" t="s">
        <v>886</v>
      </c>
      <c r="J18" s="196" t="s">
        <v>887</v>
      </c>
      <c r="K18" s="196">
        <v>36</v>
      </c>
      <c r="L18" s="75">
        <v>91125</v>
      </c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</row>
    <row r="19" spans="1:24" ht="12.75">
      <c r="A19">
        <v>15</v>
      </c>
      <c r="B19" s="260">
        <v>731978</v>
      </c>
      <c r="C19" s="258">
        <v>94695</v>
      </c>
      <c r="D19" s="258">
        <f t="shared" si="0"/>
        <v>0</v>
      </c>
      <c r="E19" s="261" t="s">
        <v>888</v>
      </c>
      <c r="F19" t="s">
        <v>889</v>
      </c>
      <c r="G19" s="258">
        <v>94695</v>
      </c>
      <c r="H19" s="196" t="s">
        <v>870</v>
      </c>
      <c r="I19" t="s">
        <v>890</v>
      </c>
      <c r="J19" s="196" t="s">
        <v>887</v>
      </c>
      <c r="K19" s="196">
        <v>36</v>
      </c>
      <c r="L19" s="75">
        <v>94695</v>
      </c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</row>
    <row r="20" spans="1:24" ht="12.75">
      <c r="A20">
        <v>16</v>
      </c>
      <c r="B20" s="260">
        <v>648797</v>
      </c>
      <c r="C20" s="258">
        <v>97375</v>
      </c>
      <c r="D20" s="258">
        <f t="shared" si="0"/>
        <v>-901</v>
      </c>
      <c r="E20" s="261" t="s">
        <v>891</v>
      </c>
      <c r="F20" t="s">
        <v>869</v>
      </c>
      <c r="G20" s="258">
        <v>96474</v>
      </c>
      <c r="H20" s="196" t="s">
        <v>870</v>
      </c>
      <c r="I20" t="s">
        <v>871</v>
      </c>
      <c r="J20" s="196" t="s">
        <v>887</v>
      </c>
      <c r="K20" s="196">
        <v>36</v>
      </c>
      <c r="L20" s="75">
        <v>96474</v>
      </c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1:24" ht="12" customHeight="1">
      <c r="A21">
        <v>17</v>
      </c>
      <c r="B21" s="260">
        <v>606773</v>
      </c>
      <c r="C21" s="258">
        <v>600000</v>
      </c>
      <c r="D21" s="258">
        <f t="shared" si="0"/>
        <v>0</v>
      </c>
      <c r="E21">
        <v>606773</v>
      </c>
      <c r="F21" t="s">
        <v>892</v>
      </c>
      <c r="G21" s="258">
        <v>600000</v>
      </c>
      <c r="H21" s="196" t="s">
        <v>870</v>
      </c>
      <c r="I21" t="s">
        <v>893</v>
      </c>
      <c r="J21" s="196" t="s">
        <v>887</v>
      </c>
      <c r="K21" s="26">
        <v>72</v>
      </c>
      <c r="L21" s="75">
        <v>600000</v>
      </c>
      <c r="M21" s="259"/>
      <c r="N21" s="259"/>
      <c r="O21" s="259"/>
      <c r="P21" s="259"/>
      <c r="Q21" s="259"/>
      <c r="R21" s="259"/>
      <c r="T21" s="259"/>
      <c r="U21" s="259"/>
      <c r="V21" s="259"/>
      <c r="W21" s="259"/>
      <c r="X21" s="259"/>
    </row>
    <row r="22" spans="2:24" ht="12" customHeight="1">
      <c r="B22" s="260"/>
      <c r="C22" s="258"/>
      <c r="D22" s="258"/>
      <c r="G22" s="258"/>
      <c r="H22" s="196"/>
      <c r="J22" s="196"/>
      <c r="K22" s="26"/>
      <c r="L22" s="75"/>
      <c r="M22" s="259"/>
      <c r="N22" s="259"/>
      <c r="O22" s="259"/>
      <c r="P22" s="259"/>
      <c r="Q22" s="259"/>
      <c r="R22" s="259"/>
      <c r="T22" s="259"/>
      <c r="U22" s="259"/>
      <c r="V22" s="259"/>
      <c r="W22" s="259"/>
      <c r="X22" s="259"/>
    </row>
    <row r="23" spans="3:24" ht="13.5" thickBot="1">
      <c r="C23" s="258">
        <f>SUM(C6:C22)</f>
        <v>2638680</v>
      </c>
      <c r="D23" s="258">
        <f>SUM(D6:D22)</f>
        <v>189114</v>
      </c>
      <c r="G23" s="258">
        <f>SUM(G6:G21)</f>
        <v>2827794</v>
      </c>
      <c r="L23" s="124">
        <f>SUM(L6:L21)</f>
        <v>3537323</v>
      </c>
      <c r="M23" s="197"/>
      <c r="N23" s="197"/>
      <c r="O23" s="197"/>
      <c r="P23" s="197"/>
      <c r="Q23" s="259"/>
      <c r="R23" s="259"/>
      <c r="S23" s="259"/>
      <c r="T23" s="259"/>
      <c r="U23" s="259"/>
      <c r="V23" s="259"/>
      <c r="W23" s="259"/>
      <c r="X23" s="259"/>
    </row>
    <row r="24" spans="4:7" ht="13.5" thickTop="1">
      <c r="D24" s="75" t="s">
        <v>894</v>
      </c>
      <c r="G24" s="258">
        <v>272090</v>
      </c>
    </row>
    <row r="25" ht="13.5" thickBot="1">
      <c r="G25" s="124">
        <f>G23+G24</f>
        <v>3099884</v>
      </c>
    </row>
    <row r="26" ht="13.5" thickTop="1"/>
  </sheetData>
  <sheetProtection/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2010-08-27T08:00:21Z</cp:lastPrinted>
  <dcterms:created xsi:type="dcterms:W3CDTF">2009-03-08T07:13:50Z</dcterms:created>
  <dcterms:modified xsi:type="dcterms:W3CDTF">2010-08-30T10:01:22Z</dcterms:modified>
  <cp:category/>
  <cp:version/>
  <cp:contentType/>
  <cp:contentStatus/>
</cp:coreProperties>
</file>