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72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<sst xmlns="http://schemas.openxmlformats.org/spreadsheetml/2006/main" count="68" uniqueCount="65">
  <si>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Particulars</t>
  </si>
  <si>
    <t>13-14 (Budget)</t>
  </si>
  <si>
    <t>Newspapers &amp; Periodicals</t>
  </si>
  <si>
    <t>Postage &amp; Courier Charges</t>
  </si>
  <si>
    <t>Rent</t>
  </si>
  <si>
    <t>License, Fees &amp; Taxes</t>
  </si>
  <si>
    <t>Bank Charges &amp; Commission</t>
  </si>
  <si>
    <t>Miscellaneous Expenses</t>
  </si>
  <si>
    <t>Publicity Expenses</t>
  </si>
  <si>
    <t>Recuritment Expenses</t>
  </si>
  <si>
    <t>Building Maintenance</t>
  </si>
  <si>
    <t>Computer Maintenance</t>
  </si>
  <si>
    <t>Electrical Maintenance</t>
  </si>
  <si>
    <t>Salary - Non Teaching</t>
  </si>
  <si>
    <t>Salary - Sub Staff</t>
  </si>
  <si>
    <t>Salary Substaff - Maintenance</t>
  </si>
  <si>
    <t>Salary - Teachers</t>
  </si>
  <si>
    <t>Electricity Charges</t>
  </si>
  <si>
    <t>School Nursery and Garden</t>
  </si>
  <si>
    <t>School Repairs &amp; Maintenance</t>
  </si>
  <si>
    <t>ESI Contribution</t>
  </si>
  <si>
    <t>Provident Fund</t>
  </si>
  <si>
    <t>Security Charges</t>
  </si>
  <si>
    <t>Staff Welfare Expenses</t>
  </si>
  <si>
    <t>Functions &amp; Events</t>
  </si>
  <si>
    <t>Lab Expenses</t>
  </si>
  <si>
    <t>Medical Expenses</t>
  </si>
  <si>
    <t>Printing &amp; Stationery</t>
  </si>
  <si>
    <t>Sports Expenses</t>
  </si>
  <si>
    <t>Student Books &amp; Notebooks</t>
  </si>
  <si>
    <t>Students Uniforms</t>
  </si>
  <si>
    <t>Mid - Day Meals Expenses</t>
  </si>
  <si>
    <t>Salary Substaff - Kitchen</t>
  </si>
  <si>
    <t>Travelling Conveyance - Kitchen</t>
  </si>
  <si>
    <t xml:space="preserve">Kitchen Utensils Replacements </t>
  </si>
  <si>
    <t>Salary Substaff - Student Transport</t>
  </si>
  <si>
    <t>Students Transport - Fuel</t>
  </si>
  <si>
    <t>Students Transport - Hired</t>
  </si>
  <si>
    <t>Students Transport - Insurance</t>
  </si>
  <si>
    <t>Students Transport - Repairs</t>
  </si>
  <si>
    <t>Students Transport - Tax</t>
  </si>
  <si>
    <t>Internet Charges</t>
  </si>
  <si>
    <t>Telephone - Landline</t>
  </si>
  <si>
    <t>Telephone - Mobile</t>
  </si>
  <si>
    <t>Training &amp; Development</t>
  </si>
  <si>
    <t>Transportation</t>
  </si>
  <si>
    <t>Travelling Expenses</t>
  </si>
  <si>
    <t>Grand Total</t>
  </si>
  <si>
    <t>Student Strength</t>
  </si>
  <si>
    <t>Classroom &amp; Lab Learning Materials, Expenses</t>
  </si>
  <si>
    <t>Repairs &amp; Maintenance - Office</t>
  </si>
  <si>
    <t>Vehicle Maintenance - Repairs office</t>
  </si>
  <si>
    <t>Vehicle Maintenance - Fuel Office</t>
  </si>
  <si>
    <t>Depreciation (on non-building assets_</t>
  </si>
  <si>
    <t>Depreciation on Building</t>
  </si>
  <si>
    <t>Annual Cost per student (excluding Depreciation on building)</t>
  </si>
  <si>
    <t xml:space="preserve"> Total Cost</t>
  </si>
  <si>
    <t>Student Uniforms</t>
  </si>
  <si>
    <t>Mid-day meals</t>
  </si>
  <si>
    <t>Student Transport</t>
  </si>
  <si>
    <t>12-13 (Audited)</t>
  </si>
  <si>
    <t>Isha Vidhya Operating Expenses:</t>
  </si>
  <si>
    <t>7 Schools</t>
  </si>
  <si>
    <t xml:space="preserve">1 New School </t>
  </si>
  <si>
    <t>Other Expenses: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</si>
</sst>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37">
      <selection activeCell="A49" sqref="A49"/>
    </sheetView>
  </sheetViews>
  <sheetFormatPr defaultColWidth="9.140625" defaultRowHeight="15"/>
  <cols>
    <col min="1" max="1" width="30.140625" style="0" customWidth="1"/>
    <col min="2" max="5" width="14.7109375" style="0" customWidth="1"/>
  </cols>
  <sheetData>
    <row r="1" ht="15">
      <c r="A1" s="4" t="s">
        <v>61</v>
      </c>
    </row>
    <row r="2" spans="1:5" ht="15">
      <c r="A2" s="1" t="s">
        <v>0</v>
      </c>
      <c r="B2" s="1" t="s">
        <v>62</v>
      </c>
      <c r="C2" s="1" t="s">
        <v>62</v>
      </c>
      <c r="D2" s="1" t="s">
        <v>63</v>
      </c>
      <c r="E2" s="1"/>
    </row>
    <row r="3" spans="1:5" ht="15">
      <c r="A3" s="1"/>
      <c r="B3" s="1" t="s">
        <v>60</v>
      </c>
      <c r="C3" s="1" t="s">
        <v>1</v>
      </c>
      <c r="D3" s="1" t="s">
        <v>1</v>
      </c>
      <c r="E3" s="1" t="s">
        <v>1</v>
      </c>
    </row>
    <row r="4" spans="1:5" ht="15">
      <c r="A4" t="s">
        <v>2</v>
      </c>
      <c r="B4" s="2">
        <v>19022</v>
      </c>
      <c r="C4" s="2">
        <f>B4*1.1</f>
        <v>20924.2</v>
      </c>
      <c r="D4" s="2">
        <v>18000</v>
      </c>
      <c r="E4" s="2">
        <f>D4+C4</f>
        <v>38924.2</v>
      </c>
    </row>
    <row r="5" spans="1:5" ht="15">
      <c r="A5" t="s">
        <v>3</v>
      </c>
      <c r="B5" s="2">
        <v>66831</v>
      </c>
      <c r="C5" s="2">
        <f aca="true" t="shared" si="0" ref="C5:C14">B5*1.1</f>
        <v>73514.1</v>
      </c>
      <c r="D5" s="2">
        <v>0</v>
      </c>
      <c r="E5" s="2">
        <f aca="true" t="shared" si="1" ref="E5:E44">D5+C5</f>
        <v>73514.1</v>
      </c>
    </row>
    <row r="6" spans="1:5" ht="15">
      <c r="A6" t="s">
        <v>4</v>
      </c>
      <c r="B6" s="2">
        <f>143000</f>
        <v>143000</v>
      </c>
      <c r="C6" s="2">
        <f t="shared" si="0"/>
        <v>157300</v>
      </c>
      <c r="D6" s="2">
        <v>180000</v>
      </c>
      <c r="E6" s="2">
        <f t="shared" si="1"/>
        <v>337300</v>
      </c>
    </row>
    <row r="7" spans="1:5" ht="15">
      <c r="A7" t="s">
        <v>5</v>
      </c>
      <c r="B7" s="2">
        <f>1485+270899</f>
        <v>272384</v>
      </c>
      <c r="C7" s="2">
        <f t="shared" si="0"/>
        <v>299622.4</v>
      </c>
      <c r="D7" s="2">
        <v>0</v>
      </c>
      <c r="E7" s="2">
        <f t="shared" si="1"/>
        <v>299622.4</v>
      </c>
    </row>
    <row r="8" spans="1:5" ht="15">
      <c r="A8" t="s">
        <v>6</v>
      </c>
      <c r="B8" s="2">
        <f>11577+3596</f>
        <v>15173</v>
      </c>
      <c r="C8" s="2">
        <f t="shared" si="0"/>
        <v>16690.300000000003</v>
      </c>
      <c r="D8" s="2">
        <v>0</v>
      </c>
      <c r="E8" s="2">
        <f t="shared" si="1"/>
        <v>16690.300000000003</v>
      </c>
    </row>
    <row r="9" spans="1:5" ht="15">
      <c r="A9" t="s">
        <v>7</v>
      </c>
      <c r="B9" s="2">
        <f>4890+2044</f>
        <v>6934</v>
      </c>
      <c r="C9" s="2">
        <f t="shared" si="0"/>
        <v>7627.400000000001</v>
      </c>
      <c r="D9" s="2">
        <v>15000</v>
      </c>
      <c r="E9" s="2">
        <f t="shared" si="1"/>
        <v>22627.4</v>
      </c>
    </row>
    <row r="10" spans="1:5" ht="15">
      <c r="A10" t="s">
        <v>8</v>
      </c>
      <c r="B10" s="2">
        <f>305495</f>
        <v>305495</v>
      </c>
      <c r="C10" s="2">
        <f t="shared" si="0"/>
        <v>336044.5</v>
      </c>
      <c r="D10" s="2">
        <v>25000</v>
      </c>
      <c r="E10" s="2">
        <f t="shared" si="1"/>
        <v>361044.5</v>
      </c>
    </row>
    <row r="11" spans="1:5" ht="15">
      <c r="A11" t="s">
        <v>9</v>
      </c>
      <c r="B11" s="2">
        <f>165935+47034</f>
        <v>212969</v>
      </c>
      <c r="C11" s="2">
        <f t="shared" si="0"/>
        <v>234265.90000000002</v>
      </c>
      <c r="D11" s="2">
        <v>0</v>
      </c>
      <c r="E11" s="2">
        <f t="shared" si="1"/>
        <v>234265.90000000002</v>
      </c>
    </row>
    <row r="12" spans="1:5" ht="15">
      <c r="A12" t="s">
        <v>10</v>
      </c>
      <c r="B12" s="2">
        <f>24599+370192</f>
        <v>394791</v>
      </c>
      <c r="C12" s="2">
        <f t="shared" si="0"/>
        <v>434270.10000000003</v>
      </c>
      <c r="D12" s="2">
        <v>36000</v>
      </c>
      <c r="E12" s="2">
        <f t="shared" si="1"/>
        <v>470270.10000000003</v>
      </c>
    </row>
    <row r="13" spans="1:5" ht="15">
      <c r="A13" t="s">
        <v>11</v>
      </c>
      <c r="B13" s="2">
        <f>146785+45920</f>
        <v>192705</v>
      </c>
      <c r="C13" s="2">
        <f t="shared" si="0"/>
        <v>211975.50000000003</v>
      </c>
      <c r="D13" s="2">
        <v>30000</v>
      </c>
      <c r="E13" s="2">
        <f t="shared" si="1"/>
        <v>241975.50000000003</v>
      </c>
    </row>
    <row r="14" spans="1:5" ht="15">
      <c r="A14" t="s">
        <v>12</v>
      </c>
      <c r="B14" s="2">
        <f>156298+1776</f>
        <v>158074</v>
      </c>
      <c r="C14" s="2">
        <f t="shared" si="0"/>
        <v>173881.40000000002</v>
      </c>
      <c r="D14" s="2">
        <v>0</v>
      </c>
      <c r="E14" s="2">
        <f t="shared" si="1"/>
        <v>173881.40000000002</v>
      </c>
    </row>
    <row r="15" spans="1:5" ht="15">
      <c r="A15" t="s">
        <v>13</v>
      </c>
      <c r="B15" s="2">
        <f>3147698+9947</f>
        <v>3157645</v>
      </c>
      <c r="C15" s="2">
        <f>B15*1.35</f>
        <v>4262820.75</v>
      </c>
      <c r="D15" s="2">
        <v>276000</v>
      </c>
      <c r="E15" s="2">
        <f t="shared" si="1"/>
        <v>4538820.75</v>
      </c>
    </row>
    <row r="16" spans="1:5" ht="15">
      <c r="A16" t="s">
        <v>14</v>
      </c>
      <c r="B16" s="2">
        <f>81100</f>
        <v>81100</v>
      </c>
      <c r="C16" s="2">
        <f>B16*1.35</f>
        <v>109485</v>
      </c>
      <c r="D16" s="2">
        <v>15000</v>
      </c>
      <c r="E16" s="2">
        <f t="shared" si="1"/>
        <v>124485</v>
      </c>
    </row>
    <row r="17" spans="1:5" ht="15">
      <c r="A17" t="s">
        <v>15</v>
      </c>
      <c r="B17" s="2">
        <f>2382815+4489</f>
        <v>2387304</v>
      </c>
      <c r="C17" s="2">
        <f>B17*1.35</f>
        <v>3222860.4000000004</v>
      </c>
      <c r="D17" s="2">
        <v>484560</v>
      </c>
      <c r="E17" s="2">
        <f t="shared" si="1"/>
        <v>3707420.4000000004</v>
      </c>
    </row>
    <row r="18" spans="1:5" ht="15">
      <c r="A18" t="s">
        <v>16</v>
      </c>
      <c r="B18" s="2">
        <f>14582888+50763</f>
        <v>14633651</v>
      </c>
      <c r="C18" s="2">
        <f>B18*1.45</f>
        <v>21218793.95</v>
      </c>
      <c r="D18" s="2">
        <v>2178000</v>
      </c>
      <c r="E18" s="2">
        <f t="shared" si="1"/>
        <v>23396793.95</v>
      </c>
    </row>
    <row r="19" spans="1:5" ht="15">
      <c r="A19" t="s">
        <v>17</v>
      </c>
      <c r="B19" s="2">
        <f>682894+36788</f>
        <v>719682</v>
      </c>
      <c r="C19" s="2">
        <f aca="true" t="shared" si="2" ref="C19:C25">B19*1.1</f>
        <v>791650.2000000001</v>
      </c>
      <c r="D19" s="2">
        <v>155100</v>
      </c>
      <c r="E19" s="2">
        <f t="shared" si="1"/>
        <v>946750.2000000001</v>
      </c>
    </row>
    <row r="20" spans="1:5" ht="15">
      <c r="A20" t="s">
        <v>18</v>
      </c>
      <c r="B20" s="2">
        <v>36072</v>
      </c>
      <c r="C20" s="2">
        <f t="shared" si="2"/>
        <v>39679.200000000004</v>
      </c>
      <c r="D20" s="2">
        <v>0</v>
      </c>
      <c r="E20" s="2">
        <f t="shared" si="1"/>
        <v>39679.200000000004</v>
      </c>
    </row>
    <row r="21" spans="1:5" ht="15">
      <c r="A21" t="s">
        <v>19</v>
      </c>
      <c r="B21" s="2">
        <f>349744</f>
        <v>349744</v>
      </c>
      <c r="C21" s="2">
        <f t="shared" si="2"/>
        <v>384718.4</v>
      </c>
      <c r="D21" s="2">
        <v>31125</v>
      </c>
      <c r="E21" s="2">
        <f t="shared" si="1"/>
        <v>415843.4</v>
      </c>
    </row>
    <row r="22" spans="1:5" ht="15">
      <c r="A22" t="s">
        <v>20</v>
      </c>
      <c r="B22" s="2">
        <f>379230</f>
        <v>379230</v>
      </c>
      <c r="C22" s="2">
        <f t="shared" si="2"/>
        <v>417153.00000000006</v>
      </c>
      <c r="D22" s="2">
        <v>0</v>
      </c>
      <c r="E22" s="2">
        <f t="shared" si="1"/>
        <v>417153.00000000006</v>
      </c>
    </row>
    <row r="23" spans="1:5" ht="15">
      <c r="A23" t="s">
        <v>21</v>
      </c>
      <c r="B23" s="2">
        <f>2996219</f>
        <v>2996219</v>
      </c>
      <c r="C23" s="2">
        <f t="shared" si="2"/>
        <v>3295840.9000000004</v>
      </c>
      <c r="D23" s="2">
        <v>0</v>
      </c>
      <c r="E23" s="2">
        <f t="shared" si="1"/>
        <v>3295840.9000000004</v>
      </c>
    </row>
    <row r="24" spans="1:5" ht="15">
      <c r="A24" t="s">
        <v>22</v>
      </c>
      <c r="B24" s="2">
        <f>579170+300467</f>
        <v>879637</v>
      </c>
      <c r="C24" s="2">
        <f t="shared" si="2"/>
        <v>967600.7000000001</v>
      </c>
      <c r="D24" s="2">
        <v>144000</v>
      </c>
      <c r="E24" s="2">
        <f t="shared" si="1"/>
        <v>1111600.7000000002</v>
      </c>
    </row>
    <row r="25" spans="1:5" ht="15">
      <c r="A25" t="s">
        <v>23</v>
      </c>
      <c r="B25" s="2">
        <f>309481+866081</f>
        <v>1175562</v>
      </c>
      <c r="C25" s="2">
        <f t="shared" si="2"/>
        <v>1293118.2000000002</v>
      </c>
      <c r="D25" s="2">
        <v>60000</v>
      </c>
      <c r="E25" s="2">
        <f t="shared" si="1"/>
        <v>1353118.2000000002</v>
      </c>
    </row>
    <row r="26" spans="1:6" ht="15">
      <c r="A26" t="s">
        <v>49</v>
      </c>
      <c r="B26" s="2">
        <f>112574+581625+144900+428790+36385</f>
        <v>1304274</v>
      </c>
      <c r="C26" s="2">
        <v>1988600</v>
      </c>
      <c r="D26" s="2">
        <f>28200+7500+72000+83000+11000+60000</f>
        <v>261700</v>
      </c>
      <c r="E26" s="2">
        <f t="shared" si="1"/>
        <v>2250300</v>
      </c>
      <c r="F26" s="2"/>
    </row>
    <row r="27" spans="1:5" ht="15">
      <c r="A27" t="s">
        <v>24</v>
      </c>
      <c r="B27" s="2">
        <f>245776+10617</f>
        <v>256393</v>
      </c>
      <c r="C27" s="2">
        <f>B27*1.1</f>
        <v>282032.30000000005</v>
      </c>
      <c r="D27" s="2">
        <v>50000</v>
      </c>
      <c r="E27" s="2">
        <f t="shared" si="1"/>
        <v>332032.30000000005</v>
      </c>
    </row>
    <row r="28" spans="1:5" ht="15">
      <c r="A28" t="s">
        <v>25</v>
      </c>
      <c r="B28" s="2"/>
      <c r="C28" s="2"/>
      <c r="D28" s="2">
        <v>0</v>
      </c>
      <c r="E28" s="2">
        <f t="shared" si="1"/>
        <v>0</v>
      </c>
    </row>
    <row r="29" spans="1:5" ht="15">
      <c r="A29" t="s">
        <v>26</v>
      </c>
      <c r="B29" s="2">
        <f>18333+16845</f>
        <v>35178</v>
      </c>
      <c r="C29" s="2">
        <f>B29*1.1*1.2</f>
        <v>46434.96</v>
      </c>
      <c r="D29" s="2">
        <v>0</v>
      </c>
      <c r="E29" s="2">
        <f t="shared" si="1"/>
        <v>46434.96</v>
      </c>
    </row>
    <row r="30" spans="1:5" ht="15">
      <c r="A30" t="s">
        <v>27</v>
      </c>
      <c r="B30" s="2">
        <f>189864+449446</f>
        <v>639310</v>
      </c>
      <c r="C30" s="2">
        <f>B30*1.1*1.2</f>
        <v>843889.2</v>
      </c>
      <c r="D30" s="2">
        <v>60000</v>
      </c>
      <c r="E30" s="2">
        <f t="shared" si="1"/>
        <v>903889.2</v>
      </c>
    </row>
    <row r="31" spans="1:5" ht="15">
      <c r="A31" t="s">
        <v>28</v>
      </c>
      <c r="B31" s="2">
        <f>83925</f>
        <v>83925</v>
      </c>
      <c r="C31" s="2">
        <f>B31*1.1*1.2</f>
        <v>110781.00000000001</v>
      </c>
      <c r="D31" s="2">
        <v>50000</v>
      </c>
      <c r="E31" s="2">
        <f t="shared" si="1"/>
        <v>160781</v>
      </c>
    </row>
    <row r="32" spans="1:5" ht="15">
      <c r="A32" t="s">
        <v>29</v>
      </c>
      <c r="B32" s="2">
        <f>1445786</f>
        <v>1445786</v>
      </c>
      <c r="C32" s="2">
        <f>B32*1.1*1.2</f>
        <v>1908437.52</v>
      </c>
      <c r="D32" s="2">
        <v>220000</v>
      </c>
      <c r="E32" s="2">
        <f t="shared" si="1"/>
        <v>2128437.52</v>
      </c>
    </row>
    <row r="33" spans="1:5" ht="15">
      <c r="A33" t="s">
        <v>41</v>
      </c>
      <c r="B33" s="2">
        <f>103002</f>
        <v>103002</v>
      </c>
      <c r="C33" s="2">
        <f>B33*1.1</f>
        <v>113302.20000000001</v>
      </c>
      <c r="D33" s="2">
        <v>42000</v>
      </c>
      <c r="E33" s="2">
        <f t="shared" si="1"/>
        <v>155302.2</v>
      </c>
    </row>
    <row r="34" spans="1:5" ht="15">
      <c r="A34" t="s">
        <v>42</v>
      </c>
      <c r="B34" s="2">
        <f>95324+266907</f>
        <v>362231</v>
      </c>
      <c r="C34" s="2">
        <f aca="true" t="shared" si="3" ref="C34:C41">B34*1.1</f>
        <v>398454.10000000003</v>
      </c>
      <c r="D34">
        <v>0</v>
      </c>
      <c r="E34" s="2">
        <f t="shared" si="1"/>
        <v>398454.10000000003</v>
      </c>
    </row>
    <row r="35" spans="1:5" ht="15">
      <c r="A35" t="s">
        <v>43</v>
      </c>
      <c r="B35" s="2">
        <f>36544</f>
        <v>36544</v>
      </c>
      <c r="C35" s="2">
        <f t="shared" si="3"/>
        <v>40198.4</v>
      </c>
      <c r="D35" s="2">
        <v>0</v>
      </c>
      <c r="E35" s="2">
        <f t="shared" si="1"/>
        <v>40198.4</v>
      </c>
    </row>
    <row r="36" spans="1:5" ht="15">
      <c r="A36" t="s">
        <v>44</v>
      </c>
      <c r="B36" s="2">
        <f>739990</f>
        <v>739990</v>
      </c>
      <c r="C36" s="2">
        <f t="shared" si="3"/>
        <v>813989.0000000001</v>
      </c>
      <c r="D36" s="2">
        <v>150000</v>
      </c>
      <c r="E36" s="2">
        <f t="shared" si="1"/>
        <v>963989.0000000001</v>
      </c>
    </row>
    <row r="37" spans="1:5" ht="15">
      <c r="A37" t="s">
        <v>45</v>
      </c>
      <c r="B37" s="2">
        <f>21482+161019</f>
        <v>182501</v>
      </c>
      <c r="C37" s="2">
        <f t="shared" si="3"/>
        <v>200751.1</v>
      </c>
      <c r="D37" s="2">
        <v>0</v>
      </c>
      <c r="E37" s="2">
        <f t="shared" si="1"/>
        <v>200751.1</v>
      </c>
    </row>
    <row r="38" spans="1:5" ht="15">
      <c r="A38" t="s">
        <v>46</v>
      </c>
      <c r="B38" s="2">
        <f>143617+518493</f>
        <v>662110</v>
      </c>
      <c r="C38" s="2">
        <f t="shared" si="3"/>
        <v>728321.0000000001</v>
      </c>
      <c r="D38" s="2">
        <v>60000</v>
      </c>
      <c r="E38" s="2">
        <f t="shared" si="1"/>
        <v>788321.0000000001</v>
      </c>
    </row>
    <row r="39" spans="1:5" ht="15">
      <c r="A39" t="s">
        <v>52</v>
      </c>
      <c r="B39" s="2">
        <f>95144+451641</f>
        <v>546785</v>
      </c>
      <c r="C39" s="2">
        <f t="shared" si="3"/>
        <v>601463.5</v>
      </c>
      <c r="D39" s="2">
        <v>0</v>
      </c>
      <c r="E39" s="2">
        <f t="shared" si="1"/>
        <v>601463.5</v>
      </c>
    </row>
    <row r="40" spans="1:5" ht="15">
      <c r="A40" t="s">
        <v>51</v>
      </c>
      <c r="B40" s="2">
        <f>2433</f>
        <v>2433</v>
      </c>
      <c r="C40" s="2">
        <f t="shared" si="3"/>
        <v>2676.3</v>
      </c>
      <c r="D40" s="2">
        <v>0</v>
      </c>
      <c r="E40" s="2">
        <f t="shared" si="1"/>
        <v>2676.3</v>
      </c>
    </row>
    <row r="41" spans="1:5" ht="15">
      <c r="A41" t="s">
        <v>50</v>
      </c>
      <c r="B41" s="2">
        <f>370</f>
        <v>370</v>
      </c>
      <c r="C41" s="2">
        <f t="shared" si="3"/>
        <v>407.00000000000006</v>
      </c>
      <c r="D41" s="2">
        <v>0</v>
      </c>
      <c r="E41" s="2">
        <f t="shared" si="1"/>
        <v>407.00000000000006</v>
      </c>
    </row>
    <row r="42" spans="1:5" ht="15">
      <c r="A42" t="s">
        <v>53</v>
      </c>
      <c r="B42" s="2">
        <f>3826180</f>
        <v>3826180</v>
      </c>
      <c r="C42" s="2">
        <v>4500000</v>
      </c>
      <c r="D42" s="2">
        <v>400000</v>
      </c>
      <c r="E42" s="2">
        <f t="shared" si="1"/>
        <v>4900000</v>
      </c>
    </row>
    <row r="43" spans="1:5" ht="15">
      <c r="A43" t="s">
        <v>56</v>
      </c>
      <c r="B43" s="2">
        <f>SUM(B4:B42)</f>
        <v>38810236</v>
      </c>
      <c r="C43" s="2">
        <f>SUM(C4:C42)</f>
        <v>50549574.080000006</v>
      </c>
      <c r="D43" s="2">
        <f>SUM(D4:D42)</f>
        <v>4941485</v>
      </c>
      <c r="E43" s="2">
        <f t="shared" si="1"/>
        <v>55491059.080000006</v>
      </c>
    </row>
    <row r="44" spans="1:5" ht="15">
      <c r="A44" t="s">
        <v>54</v>
      </c>
      <c r="B44" s="2">
        <f>8513464</f>
        <v>8513464</v>
      </c>
      <c r="C44" s="2">
        <v>11500000</v>
      </c>
      <c r="D44" s="2">
        <v>0</v>
      </c>
      <c r="E44" s="2">
        <f t="shared" si="1"/>
        <v>11500000</v>
      </c>
    </row>
    <row r="45" spans="1:5" ht="15">
      <c r="A45" t="s">
        <v>47</v>
      </c>
      <c r="B45" s="2">
        <f>B44+B43</f>
        <v>47323700</v>
      </c>
      <c r="C45" s="2">
        <f>C44+C43</f>
        <v>62049574.080000006</v>
      </c>
      <c r="D45" s="2">
        <f>D44+D43</f>
        <v>4941485</v>
      </c>
      <c r="E45" s="2">
        <f>E44+E43</f>
        <v>66991059.080000006</v>
      </c>
    </row>
    <row r="46" spans="2:3" ht="15">
      <c r="B46" s="2"/>
      <c r="C46" s="2"/>
    </row>
    <row r="47" spans="1:5" ht="15">
      <c r="A47" t="s">
        <v>48</v>
      </c>
      <c r="B47" s="2">
        <v>3856</v>
      </c>
      <c r="C47" s="2">
        <f>E47-D47</f>
        <v>4456</v>
      </c>
      <c r="D47">
        <v>380</v>
      </c>
      <c r="E47" s="2">
        <v>4836</v>
      </c>
    </row>
    <row r="48" spans="2:5" ht="15">
      <c r="B48" s="2"/>
      <c r="C48" s="2"/>
      <c r="E48" s="2"/>
    </row>
    <row r="49" spans="1:5" ht="45">
      <c r="A49" s="5" t="s">
        <v>55</v>
      </c>
      <c r="B49" s="2">
        <f>B43/B47</f>
        <v>10064.895228215768</v>
      </c>
      <c r="C49" s="2"/>
      <c r="E49" s="2">
        <f>E43/E47</f>
        <v>11474.577973531847</v>
      </c>
    </row>
    <row r="50" spans="1:5" ht="15">
      <c r="A50" s="3"/>
      <c r="B50" s="2"/>
      <c r="C50" s="2"/>
      <c r="E50" s="2"/>
    </row>
    <row r="51" spans="1:5" ht="15">
      <c r="A51" s="4" t="s">
        <v>64</v>
      </c>
      <c r="D51" s="2"/>
      <c r="E51" s="2"/>
    </row>
    <row r="52" spans="1:5" ht="15">
      <c r="A52" t="s">
        <v>30</v>
      </c>
      <c r="B52" s="2">
        <f>1300775</f>
        <v>1300775</v>
      </c>
      <c r="C52" s="2">
        <f>B52*1.1*1.2</f>
        <v>1717023</v>
      </c>
      <c r="D52" s="2">
        <v>48000</v>
      </c>
      <c r="E52" s="2">
        <f aca="true" t="shared" si="4" ref="E52:E62">D52+C52</f>
        <v>1765023</v>
      </c>
    </row>
    <row r="53" spans="1:5" ht="15">
      <c r="A53" t="s">
        <v>31</v>
      </c>
      <c r="B53" s="2">
        <f>4270225</f>
        <v>4270225</v>
      </c>
      <c r="C53" s="2">
        <f>B53*1.1*1.2</f>
        <v>5636697</v>
      </c>
      <c r="D53" s="2">
        <v>0</v>
      </c>
      <c r="E53" s="2">
        <f t="shared" si="4"/>
        <v>5636697</v>
      </c>
    </row>
    <row r="54" spans="1:5" ht="15">
      <c r="A54" t="s">
        <v>32</v>
      </c>
      <c r="B54" s="2">
        <f>978968+6100</f>
        <v>985068</v>
      </c>
      <c r="C54" s="2">
        <f>B54*1.35</f>
        <v>1329841.8</v>
      </c>
      <c r="D54" s="2">
        <v>0</v>
      </c>
      <c r="E54" s="2">
        <f t="shared" si="4"/>
        <v>1329841.8</v>
      </c>
    </row>
    <row r="55" spans="1:5" ht="15">
      <c r="A55" t="s">
        <v>33</v>
      </c>
      <c r="B55" s="2">
        <v>156500</v>
      </c>
      <c r="C55" s="2">
        <f>B55*1.35</f>
        <v>211275</v>
      </c>
      <c r="D55" s="2">
        <v>0</v>
      </c>
      <c r="E55" s="2">
        <f t="shared" si="4"/>
        <v>211275</v>
      </c>
    </row>
    <row r="56" spans="1:5" ht="15">
      <c r="A56" t="s">
        <v>34</v>
      </c>
      <c r="B56" s="2"/>
      <c r="C56" s="2"/>
      <c r="D56" s="2">
        <v>0</v>
      </c>
      <c r="E56" s="2">
        <f t="shared" si="4"/>
        <v>0</v>
      </c>
    </row>
    <row r="57" spans="1:5" ht="15">
      <c r="A57" t="s">
        <v>35</v>
      </c>
      <c r="B57" s="2">
        <f>1092311+13794+14167</f>
        <v>1120272</v>
      </c>
      <c r="C57" s="2">
        <f>B57*1.35</f>
        <v>1512367.2000000002</v>
      </c>
      <c r="D57" s="2">
        <v>252000</v>
      </c>
      <c r="E57" s="2">
        <f t="shared" si="4"/>
        <v>1764367.2000000002</v>
      </c>
    </row>
    <row r="58" spans="1:5" ht="15">
      <c r="A58" t="s">
        <v>36</v>
      </c>
      <c r="B58" s="2">
        <f>2485398</f>
        <v>2485398</v>
      </c>
      <c r="C58" s="2">
        <f>B58*1.45</f>
        <v>3603827.1</v>
      </c>
      <c r="D58" s="2">
        <v>0</v>
      </c>
      <c r="E58" s="2">
        <f t="shared" si="4"/>
        <v>3603827.1</v>
      </c>
    </row>
    <row r="59" spans="1:5" ht="15">
      <c r="A59" t="s">
        <v>37</v>
      </c>
      <c r="B59" s="2">
        <f>3275838</f>
        <v>3275838</v>
      </c>
      <c r="C59" s="2">
        <f>B59*1.1*1.2</f>
        <v>4324106.16</v>
      </c>
      <c r="D59" s="2">
        <v>0</v>
      </c>
      <c r="E59" s="2">
        <f t="shared" si="4"/>
        <v>4324106.16</v>
      </c>
    </row>
    <row r="60" spans="1:5" ht="15">
      <c r="A60" t="s">
        <v>38</v>
      </c>
      <c r="B60" s="2">
        <f>520482</f>
        <v>520482</v>
      </c>
      <c r="C60" s="2">
        <f>B60*1.1*1.2</f>
        <v>687036.2400000001</v>
      </c>
      <c r="D60" s="2">
        <v>0</v>
      </c>
      <c r="E60" s="2">
        <f t="shared" si="4"/>
        <v>687036.2400000001</v>
      </c>
    </row>
    <row r="61" spans="1:5" ht="15">
      <c r="A61" t="s">
        <v>39</v>
      </c>
      <c r="B61" s="2">
        <f>1285811</f>
        <v>1285811</v>
      </c>
      <c r="C61" s="2">
        <f>B61*1.1*1.2</f>
        <v>1697270.52</v>
      </c>
      <c r="D61" s="2">
        <v>0</v>
      </c>
      <c r="E61" s="2">
        <f t="shared" si="4"/>
        <v>1697270.52</v>
      </c>
    </row>
    <row r="62" spans="1:5" ht="15">
      <c r="A62" t="s">
        <v>40</v>
      </c>
      <c r="B62" s="2">
        <f>162188</f>
        <v>162188</v>
      </c>
      <c r="C62" s="2">
        <f>B62*1.1*1.2</f>
        <v>214088.16</v>
      </c>
      <c r="D62" s="2">
        <v>0</v>
      </c>
      <c r="E62" s="2">
        <f t="shared" si="4"/>
        <v>214088.16</v>
      </c>
    </row>
    <row r="64" spans="1:5" ht="15">
      <c r="A64" t="s">
        <v>57</v>
      </c>
      <c r="B64" s="2">
        <f>B52</f>
        <v>1300775</v>
      </c>
      <c r="C64" s="2">
        <f>C52</f>
        <v>1717023</v>
      </c>
      <c r="D64" s="2">
        <f>D52</f>
        <v>48000</v>
      </c>
      <c r="E64" s="2">
        <f>E52</f>
        <v>1765023</v>
      </c>
    </row>
    <row r="65" spans="1:5" ht="15">
      <c r="A65" t="s">
        <v>58</v>
      </c>
      <c r="B65" s="2">
        <f>SUM(B53:B56)</f>
        <v>5411793</v>
      </c>
      <c r="C65" s="2">
        <f>SUM(C53:C56)</f>
        <v>7177813.8</v>
      </c>
      <c r="D65" s="2">
        <f>SUM(D53:D56)</f>
        <v>0</v>
      </c>
      <c r="E65" s="2">
        <f>SUM(E53:E56)</f>
        <v>7177813.8</v>
      </c>
    </row>
    <row r="66" spans="1:5" ht="15">
      <c r="A66" t="s">
        <v>59</v>
      </c>
      <c r="B66" s="2">
        <f>SUM(B57:B62)</f>
        <v>8849989</v>
      </c>
      <c r="C66" s="2">
        <f>SUM(C57:C62)</f>
        <v>12038695.38</v>
      </c>
      <c r="D66" s="2">
        <f>SUM(D57:D62)</f>
        <v>252000</v>
      </c>
      <c r="E66" s="2">
        <f>SUM(E57:E62)</f>
        <v>12290695.38</v>
      </c>
    </row>
    <row r="68" spans="2:5" ht="15">
      <c r="B68" s="2">
        <f>SUM(B64:B66)+B43-B42</f>
        <v>50546613</v>
      </c>
      <c r="C68" s="2">
        <f>SUM(C64:C66)+C43-C42</f>
        <v>66983106.260000005</v>
      </c>
      <c r="D68" s="2">
        <f>SUM(D64:D66)+D43-D42</f>
        <v>4841485</v>
      </c>
      <c r="E68" s="2">
        <f>SUM(E64:E66)+E43-E42</f>
        <v>71824591.26</v>
      </c>
    </row>
    <row r="69" spans="2:5" ht="15">
      <c r="B69" s="2"/>
      <c r="C69" s="2"/>
      <c r="D69" s="2"/>
      <c r="E69" s="2"/>
    </row>
    <row r="96" spans="2:5" ht="15">
      <c r="B96" s="2"/>
      <c r="C96" s="2"/>
      <c r="D96" s="2"/>
      <c r="E96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Vinod Hari</dc:creator>
  <cp:keywords/>
  <dc:description/>
  <cp:lastModifiedBy>HCL</cp:lastModifiedBy>
  <dcterms:created xsi:type="dcterms:W3CDTF">2013-09-17T07:02:07Z</dcterms:created>
  <dcterms:modified xsi:type="dcterms:W3CDTF">2013-09-19T16:23:55Z</dcterms:modified>
  <cp:category/>
  <cp:version/>
  <cp:contentType/>
  <cp:contentStatus/>
</cp:coreProperties>
</file>