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0" windowWidth="8460" windowHeight="6820" activeTab="0"/>
  </bookViews>
  <sheets>
    <sheet name="Sheet1" sheetId="1" r:id="rId1"/>
    <sheet name="Van cost appx" sheetId="2" r:id="rId2"/>
    <sheet name="Runing budget" sheetId="3" r:id="rId3"/>
  </sheets>
  <definedNames/>
  <calcPr fullCalcOnLoad="1"/>
</workbook>
</file>

<file path=xl/sharedStrings.xml><?xml version="1.0" encoding="utf-8"?>
<sst xmlns="http://schemas.openxmlformats.org/spreadsheetml/2006/main" count="126" uniqueCount="111">
  <si>
    <t>S.No</t>
  </si>
  <si>
    <t>Particulars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</si>
  <si>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</si>
  <si>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</si>
  <si>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</si>
  <si>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</si>
  <si>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</si>
  <si>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</si>
  <si>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</si>
  <si>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</si>
  <si>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</si>
  <si>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</si>
  <si>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</si>
  <si>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</si>
  <si>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</si>
  <si>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</si>
  <si>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</si>
  <si>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</si>
  <si>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</si>
  <si>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</si>
  <si>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</si>
  <si>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</si>
  <si>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</si>
  <si>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</si>
  <si>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</si>
  <si>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</si>
  <si>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</si>
  <si>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</si>
  <si>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</si>
  <si>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</si>
  <si>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</si>
  <si>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</si>
  <si>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</si>
  <si>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</si>
  <si>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</si>
  <si>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</si>
  <si>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</si>
  <si>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</si>
  <si>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</si>
  <si>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</si>
  <si>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Total</t>
  </si>
  <si>
    <t>Rs/P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</si>
  <si>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</si>
  <si>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</si>
  <si>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</si>
  <si>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</si>
  <si>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</si>
  <si>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</si>
  <si>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</si>
  <si>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Telephone, Magazine &amp; fax charges</t>
  </si>
  <si>
    <t>appx</t>
  </si>
  <si>
    <t xml:space="preserve">notice, drama show, </t>
  </si>
  <si>
    <t>Total estimate Budget / year</t>
  </si>
  <si>
    <t>Rent for the school</t>
  </si>
  <si>
    <t>Driver</t>
  </si>
  <si>
    <t>Van road tax for the van</t>
  </si>
  <si>
    <t>3 month once</t>
  </si>
  <si>
    <t>Disesl for the van</t>
  </si>
  <si>
    <t>New van cost</t>
  </si>
  <si>
    <t>Vechical insurance for the two wheeler</t>
  </si>
  <si>
    <t xml:space="preserve">In direct expenses for children </t>
  </si>
  <si>
    <t>350 X 12 month</t>
  </si>
  <si>
    <t>Ass. Spl eduactor</t>
  </si>
  <si>
    <t>Speech therapist</t>
  </si>
  <si>
    <t>Physio therapist</t>
  </si>
  <si>
    <t>3.00 per children</t>
  </si>
  <si>
    <t>Total esstimate budget details</t>
  </si>
  <si>
    <t>Hariksha CP/MR Learning Center one year running budget</t>
  </si>
  <si>
    <t>Expected contribuition from Parents and Local Sponsor</t>
  </si>
  <si>
    <t>Proposed budget from Asha Foundation</t>
  </si>
  <si>
    <t>TATA Magic On road condition including registration and insurance</t>
  </si>
  <si>
    <t>7+1 seater</t>
  </si>
  <si>
    <t>Expected contribuition from Asha for the van</t>
  </si>
  <si>
    <t>Estimate Expenses for Hariksha Learning Center 2010 - 2011                                  (Magic van 7+1 seater)</t>
  </si>
  <si>
    <t>12 rs per head X 240 working days</t>
  </si>
  <si>
    <t>750.00 per children</t>
  </si>
  <si>
    <t>35.00 pr children full year app..</t>
  </si>
  <si>
    <t>100.00 X30 children X 12 month</t>
  </si>
  <si>
    <t>Staff outing</t>
  </si>
  <si>
    <t>7500 per month x 12 months</t>
  </si>
  <si>
    <t>Learning center Recognization expenses</t>
  </si>
  <si>
    <t>50.00Rs from 20 children/month/ others</t>
  </si>
  <si>
    <t>400.00 X 6 month</t>
  </si>
  <si>
    <t>No rent next two years</t>
  </si>
  <si>
    <t>375.00 / per month</t>
  </si>
  <si>
    <t>$ = 50.00</t>
  </si>
  <si>
    <t>Total expneses details  amount</t>
  </si>
  <si>
    <t>Balance amount</t>
  </si>
  <si>
    <t>`</t>
  </si>
  <si>
    <t>Amount recived details</t>
  </si>
  <si>
    <t>Amount</t>
  </si>
  <si>
    <t xml:space="preserve">Date </t>
  </si>
  <si>
    <t>$</t>
  </si>
  <si>
    <t>Amount recived from Asha foundaton Chennai</t>
  </si>
  <si>
    <t>22.12.2010</t>
  </si>
  <si>
    <t>Balance</t>
  </si>
  <si>
    <t>Expenses for the Month of December -2010</t>
  </si>
  <si>
    <t>Van Rent</t>
  </si>
  <si>
    <t>Food expenses for the staffs/vistors</t>
  </si>
  <si>
    <t>Expenses for the Month of January -2011</t>
  </si>
  <si>
    <t>Expenses for the Month of February -2011</t>
  </si>
  <si>
    <t>Repaire and maintance for the center</t>
  </si>
  <si>
    <t>Give india renewal chagesh</t>
  </si>
  <si>
    <t>Expenses for the Month of March -2011</t>
  </si>
  <si>
    <t>Children sitting chair</t>
  </si>
  <si>
    <t>Purchases of land 20 cents for CP/MR children - Avaloorpet</t>
  </si>
  <si>
    <t>Expenses for the Month of April -2011</t>
  </si>
  <si>
    <t>Expenses for the Month of May -2011</t>
  </si>
  <si>
    <t>Amount recived from Asha foundaton Irvine</t>
  </si>
  <si>
    <t>30.06.2011</t>
  </si>
  <si>
    <t>Expenses for the Month of June -2011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</si>
</sst>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_);_(* \(#,##0.0\);_(* &quot;-&quot;??_);_(@_)"/>
    <numFmt numFmtId="172" formatCode="_(* #,##0_);_(* \(#,##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sz val="12"/>
      <name val="Times New Roman"/>
      <family val="1"/>
    </font>
    <font>
      <b/>
      <sz val="13"/>
      <name val="Garamond"/>
      <family val="1"/>
    </font>
    <font>
      <b/>
      <sz val="10"/>
      <color indexed="17"/>
      <name val="Arial"/>
      <family val="2"/>
    </font>
    <font>
      <b/>
      <sz val="14"/>
      <color indexed="17"/>
      <name val="Garamond"/>
      <family val="1"/>
    </font>
    <font>
      <b/>
      <sz val="13"/>
      <color indexed="12"/>
      <name val="Garamond"/>
      <family val="1"/>
    </font>
    <font>
      <b/>
      <sz val="14"/>
      <color indexed="12"/>
      <name val="Garamond"/>
      <family val="1"/>
    </font>
    <font>
      <b/>
      <sz val="14"/>
      <color indexed="62"/>
      <name val="Garamond"/>
      <family val="1"/>
    </font>
    <font>
      <b/>
      <sz val="10"/>
      <color indexed="62"/>
      <name val="Arial"/>
      <family val="2"/>
    </font>
    <font>
      <b/>
      <sz val="11"/>
      <color indexed="10"/>
      <name val="Garamond"/>
      <family val="1"/>
    </font>
    <font>
      <b/>
      <sz val="12"/>
      <name val="Rupee"/>
      <family val="0"/>
    </font>
    <font>
      <sz val="10"/>
      <name val="Garamond"/>
      <family val="1"/>
    </font>
    <font>
      <b/>
      <sz val="12"/>
      <color indexed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42" applyFont="1" applyAlignment="1">
      <alignment horizontal="center" vertical="center" wrapText="1"/>
    </xf>
    <xf numFmtId="43" fontId="6" fillId="0" borderId="0" xfId="42" applyFont="1" applyAlignment="1">
      <alignment horizontal="center" vertical="center" wrapText="1"/>
    </xf>
    <xf numFmtId="43" fontId="4" fillId="0" borderId="0" xfId="42" applyFont="1" applyAlignment="1">
      <alignment/>
    </xf>
    <xf numFmtId="43" fontId="12" fillId="0" borderId="0" xfId="42" applyFont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3" fontId="3" fillId="0" borderId="0" xfId="0" applyNumberFormat="1" applyFont="1" applyFill="1" applyAlignment="1">
      <alignment/>
    </xf>
    <xf numFmtId="43" fontId="10" fillId="0" borderId="0" xfId="42" applyFont="1" applyAlignment="1">
      <alignment horizontal="center" vertical="center"/>
    </xf>
    <xf numFmtId="0" fontId="0" fillId="0" borderId="0" xfId="0" applyAlignment="1">
      <alignment horizontal="center" vertical="center"/>
    </xf>
    <xf numFmtId="8" fontId="2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3" fontId="10" fillId="0" borderId="0" xfId="0" applyNumberFormat="1" applyFont="1" applyFill="1" applyAlignment="1">
      <alignment vertical="center"/>
    </xf>
    <xf numFmtId="43" fontId="19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18" fillId="0" borderId="0" xfId="0" applyNumberFormat="1" applyFont="1" applyFill="1" applyAlignment="1">
      <alignment vertical="center"/>
    </xf>
    <xf numFmtId="43" fontId="22" fillId="0" borderId="0" xfId="42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43" fontId="3" fillId="33" borderId="0" xfId="42" applyFont="1" applyFill="1" applyAlignment="1">
      <alignment/>
    </xf>
    <xf numFmtId="43" fontId="2" fillId="0" borderId="0" xfId="42" applyFont="1" applyAlignment="1">
      <alignment horizontal="center"/>
    </xf>
    <xf numFmtId="43" fontId="3" fillId="0" borderId="0" xfId="42" applyFont="1" applyAlignment="1">
      <alignment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3" fillId="33" borderId="0" xfId="0" applyNumberFormat="1" applyFont="1" applyFill="1" applyAlignment="1">
      <alignment vertical="center"/>
    </xf>
    <xf numFmtId="43" fontId="18" fillId="0" borderId="0" xfId="0" applyNumberFormat="1" applyFont="1" applyAlignment="1">
      <alignment vertical="center"/>
    </xf>
    <xf numFmtId="43" fontId="7" fillId="0" borderId="0" xfId="42" applyFont="1" applyAlignment="1">
      <alignment/>
    </xf>
    <xf numFmtId="43" fontId="24" fillId="0" borderId="0" xfId="42" applyFont="1" applyAlignment="1">
      <alignment/>
    </xf>
    <xf numFmtId="0" fontId="4" fillId="0" borderId="0" xfId="0" applyFont="1" applyAlignment="1">
      <alignment vertical="center" wrapText="1"/>
    </xf>
    <xf numFmtId="172" fontId="3" fillId="0" borderId="0" xfId="4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C4">
      <selection activeCell="D4" sqref="D4"/>
    </sheetView>
  </sheetViews>
  <sheetFormatPr defaultColWidth="8.8515625" defaultRowHeight="12.75"/>
  <cols>
    <col min="1" max="1" width="6.28125" style="0" customWidth="1"/>
    <col min="2" max="2" width="51.140625" style="0" customWidth="1"/>
    <col min="3" max="3" width="16.8515625" style="0" customWidth="1"/>
    <col min="4" max="4" width="14.7109375" style="0" customWidth="1"/>
    <col min="5" max="5" width="16.421875" style="0" customWidth="1"/>
  </cols>
  <sheetData>
    <row r="1" spans="1:5" ht="105">
      <c r="A1" s="23" t="s">
        <v>0</v>
      </c>
      <c r="B1" s="22" t="s">
        <v>1</v>
      </c>
      <c r="C1" s="23" t="s">
        <v>73</v>
      </c>
      <c r="D1" s="23" t="s">
        <v>86</v>
      </c>
      <c r="E1" s="23" t="s">
        <v>87</v>
      </c>
    </row>
    <row r="2" spans="2:5" ht="15.75">
      <c r="B2" s="12"/>
      <c r="C2" s="36" t="s">
        <v>88</v>
      </c>
      <c r="D2" s="36" t="s">
        <v>88</v>
      </c>
      <c r="E2" s="36" t="s">
        <v>88</v>
      </c>
    </row>
    <row r="3" spans="2:5" s="26" customFormat="1" ht="13.5">
      <c r="B3" s="12" t="s">
        <v>66</v>
      </c>
      <c r="D3" s="42"/>
      <c r="E3" s="42"/>
    </row>
    <row r="4" spans="1:5" ht="34.5" customHeight="1">
      <c r="A4" s="23">
        <v>1</v>
      </c>
      <c r="B4" s="28" t="s">
        <v>67</v>
      </c>
      <c r="C4" s="32">
        <f>'Runing budget'!C46</f>
        <v>900834.5</v>
      </c>
      <c r="D4" s="45">
        <f>'Runing budget'!D46+'Runing budget'!E48+'Runing budget'!F48+'Runing budget'!G48+'Runing budget'!H48+'Runing budget'!I48+'Runing budget'!J48</f>
        <v>668517</v>
      </c>
      <c r="E4" s="45">
        <v>232317.5</v>
      </c>
    </row>
    <row r="5" spans="1:5" ht="34.5" customHeight="1">
      <c r="A5" s="23">
        <v>2</v>
      </c>
      <c r="B5" s="29" t="s">
        <v>72</v>
      </c>
      <c r="C5" s="33">
        <f>'Van cost appx'!C1</f>
        <v>380000</v>
      </c>
      <c r="D5" s="44"/>
      <c r="E5" s="46">
        <f>C5-D5</f>
        <v>380000</v>
      </c>
    </row>
    <row r="6" spans="1:5" ht="34.5" customHeight="1">
      <c r="A6" s="23">
        <v>3</v>
      </c>
      <c r="B6" s="30" t="s">
        <v>68</v>
      </c>
      <c r="C6" s="34">
        <f>'Runing budget'!C47</f>
        <v>30000</v>
      </c>
      <c r="D6" s="46">
        <f>'Runing budget'!D47+'Runing budget'!E47+'Runing budget'!F47+'Runing budget'!G47+'Runing budget'!H47+'Runing budget'!I47</f>
        <v>359723</v>
      </c>
      <c r="E6" s="45">
        <f>C6-D6</f>
        <v>-329723</v>
      </c>
    </row>
    <row r="7" spans="1:5" ht="34.5" customHeight="1">
      <c r="A7" s="23"/>
      <c r="B7" s="31" t="s">
        <v>69</v>
      </c>
      <c r="C7" s="35">
        <f>C4+C5-C6</f>
        <v>1250834.5</v>
      </c>
      <c r="D7" s="47">
        <f>C13+C14</f>
        <v>590482.76</v>
      </c>
      <c r="E7" s="48">
        <v>660351.74</v>
      </c>
    </row>
    <row r="8" spans="2:5" ht="16.5">
      <c r="B8" s="31" t="s">
        <v>85</v>
      </c>
      <c r="C8" s="24">
        <f>C7/50</f>
        <v>25016.69</v>
      </c>
      <c r="D8" s="43"/>
      <c r="E8" s="43"/>
    </row>
    <row r="11" spans="1:5" ht="16.5">
      <c r="A11" s="53" t="s">
        <v>89</v>
      </c>
      <c r="B11" s="53"/>
      <c r="C11" s="37" t="s">
        <v>90</v>
      </c>
      <c r="D11" s="37" t="s">
        <v>91</v>
      </c>
      <c r="E11" s="37" t="s">
        <v>92</v>
      </c>
    </row>
    <row r="12" spans="1:5" ht="16.5">
      <c r="A12" s="53"/>
      <c r="B12" s="53"/>
      <c r="C12" s="38"/>
      <c r="D12" s="37"/>
      <c r="E12" s="37"/>
    </row>
    <row r="13" spans="1:5" ht="16.5">
      <c r="A13" s="54" t="s">
        <v>93</v>
      </c>
      <c r="B13" s="54"/>
      <c r="C13" s="39">
        <v>65500</v>
      </c>
      <c r="D13" s="40" t="s">
        <v>94</v>
      </c>
      <c r="E13" s="38"/>
    </row>
    <row r="14" spans="1:5" ht="16.5">
      <c r="A14" s="54" t="s">
        <v>108</v>
      </c>
      <c r="B14" s="54"/>
      <c r="C14" s="39">
        <v>524982.76</v>
      </c>
      <c r="D14" s="40" t="s">
        <v>109</v>
      </c>
      <c r="E14" s="52">
        <v>11794</v>
      </c>
    </row>
    <row r="15" spans="1:5" ht="16.5">
      <c r="A15" s="53" t="s">
        <v>40</v>
      </c>
      <c r="B15" s="53"/>
      <c r="C15" s="41"/>
      <c r="D15" s="37"/>
      <c r="E15" s="38"/>
    </row>
  </sheetData>
  <sheetProtection/>
  <mergeCells count="5">
    <mergeCell ref="A15:B15"/>
    <mergeCell ref="A11:B11"/>
    <mergeCell ref="A12:B12"/>
    <mergeCell ref="A13:B13"/>
    <mergeCell ref="A14:B14"/>
  </mergeCells>
  <printOptions gridLines="1" horizontalCentered="1" verticalCentered="1"/>
  <pageMargins left="0.75" right="0.75" top="1" bottom="1" header="0.5" footer="0.5"/>
  <pageSetup horizontalDpi="1200" verticalDpi="1200" orientation="landscape"/>
  <headerFooter alignWithMargins="0">
    <oddHeader>&amp;C&amp;"Monotype Corsiva,Regular"&amp;16Hariksha Learning center for 30 CP/MR  Children Budget Proposal 2010-2011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C14" sqref="C14"/>
    </sheetView>
  </sheetViews>
  <sheetFormatPr defaultColWidth="8.8515625" defaultRowHeight="12.75"/>
  <cols>
    <col min="1" max="1" width="8.8515625" style="0" customWidth="1"/>
    <col min="2" max="2" width="7.140625" style="0" customWidth="1"/>
    <col min="3" max="3" width="14.8515625" style="0" customWidth="1"/>
    <col min="4" max="7" width="8.8515625" style="0" customWidth="1"/>
    <col min="8" max="8" width="5.140625" style="0" customWidth="1"/>
    <col min="9" max="9" width="3.140625" style="0" hidden="1" customWidth="1"/>
    <col min="10" max="10" width="0.71875" style="0" hidden="1" customWidth="1"/>
    <col min="11" max="11" width="11.140625" style="0" bestFit="1" customWidth="1"/>
  </cols>
  <sheetData>
    <row r="1" spans="1:11" s="26" customFormat="1" ht="49.5" customHeight="1">
      <c r="A1" s="56" t="s">
        <v>58</v>
      </c>
      <c r="B1" s="56"/>
      <c r="C1" s="25">
        <v>380000</v>
      </c>
      <c r="D1" s="55" t="s">
        <v>70</v>
      </c>
      <c r="E1" s="55"/>
      <c r="F1" s="55"/>
      <c r="G1" s="55"/>
      <c r="H1" s="55"/>
      <c r="I1" s="55"/>
      <c r="J1" s="55"/>
      <c r="K1" s="26" t="s">
        <v>71</v>
      </c>
    </row>
  </sheetData>
  <sheetProtection/>
  <mergeCells count="2">
    <mergeCell ref="D1:J1"/>
    <mergeCell ref="A1:B1"/>
  </mergeCells>
  <printOptions gridLines="1" horizontalCentered="1" verticalCentered="1"/>
  <pageMargins left="0.75" right="0.75" top="1" bottom="1" header="0.5" footer="0.5"/>
  <pageSetup horizontalDpi="1200" verticalDpi="1200" orientation="portrait"/>
  <headerFooter alignWithMargins="0">
    <oddHeader xml:space="preserve">&amp;C&amp;"Monotype Corsiva,Regular"&amp;18Van Budget proposal for 30 CP/MR children Learning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workbookViewId="0" topLeftCell="C40">
      <selection activeCell="J4" sqref="J4"/>
    </sheetView>
  </sheetViews>
  <sheetFormatPr defaultColWidth="9.140625" defaultRowHeight="12.75"/>
  <cols>
    <col min="1" max="1" width="5.28125" style="0" customWidth="1"/>
    <col min="2" max="2" width="39.421875" style="8" bestFit="1" customWidth="1"/>
    <col min="3" max="3" width="13.140625" style="0" bestFit="1" customWidth="1"/>
    <col min="4" max="4" width="0.85546875" style="0" customWidth="1"/>
    <col min="5" max="5" width="0.71875" style="0" customWidth="1"/>
    <col min="6" max="6" width="0.9921875" style="0" customWidth="1"/>
    <col min="7" max="7" width="1.1484375" style="0" customWidth="1"/>
    <col min="8" max="8" width="1.28515625" style="0" customWidth="1"/>
    <col min="9" max="10" width="12.8515625" style="0" customWidth="1"/>
    <col min="11" max="11" width="14.00390625" style="0" bestFit="1" customWidth="1"/>
    <col min="12" max="12" width="18.28125" style="0" customWidth="1"/>
    <col min="13" max="13" width="12.421875" style="0" customWidth="1"/>
  </cols>
  <sheetData>
    <row r="1" spans="1:15" ht="90" customHeight="1">
      <c r="A1" s="3" t="s">
        <v>0</v>
      </c>
      <c r="B1" s="3" t="s">
        <v>1</v>
      </c>
      <c r="C1" s="4" t="s">
        <v>2</v>
      </c>
      <c r="D1" s="4" t="s">
        <v>96</v>
      </c>
      <c r="E1" s="4" t="s">
        <v>99</v>
      </c>
      <c r="F1" s="4" t="s">
        <v>100</v>
      </c>
      <c r="G1" s="4" t="s">
        <v>103</v>
      </c>
      <c r="H1" s="4" t="s">
        <v>106</v>
      </c>
      <c r="I1" s="4" t="s">
        <v>107</v>
      </c>
      <c r="J1" s="4" t="s">
        <v>110</v>
      </c>
      <c r="K1" s="4" t="s">
        <v>95</v>
      </c>
      <c r="L1" s="61" t="s">
        <v>34</v>
      </c>
      <c r="M1" s="61"/>
      <c r="N1" s="1"/>
      <c r="O1" s="1"/>
    </row>
    <row r="2" spans="1:15" ht="31.5">
      <c r="A2" s="12"/>
      <c r="B2" s="13"/>
      <c r="C2" s="36" t="s">
        <v>88</v>
      </c>
      <c r="D2" s="36" t="s">
        <v>88</v>
      </c>
      <c r="E2" s="36" t="s">
        <v>88</v>
      </c>
      <c r="F2" s="36" t="s">
        <v>88</v>
      </c>
      <c r="G2" s="36" t="s">
        <v>88</v>
      </c>
      <c r="H2" s="36" t="s">
        <v>88</v>
      </c>
      <c r="I2" s="36" t="s">
        <v>88</v>
      </c>
      <c r="J2" s="36" t="s">
        <v>88</v>
      </c>
      <c r="K2" s="36" t="s">
        <v>88</v>
      </c>
      <c r="L2" s="59"/>
      <c r="M2" s="59"/>
      <c r="N2" s="1"/>
      <c r="O2" s="1"/>
    </row>
    <row r="3" spans="1:15" ht="18.75" customHeight="1">
      <c r="A3" s="60" t="s">
        <v>3</v>
      </c>
      <c r="B3" s="60"/>
      <c r="C3" s="15"/>
      <c r="D3" s="15"/>
      <c r="E3" s="15"/>
      <c r="F3" s="15"/>
      <c r="G3" s="15"/>
      <c r="H3" s="15"/>
      <c r="I3" s="15"/>
      <c r="J3" s="15"/>
      <c r="K3" s="15"/>
      <c r="L3" s="59"/>
      <c r="M3" s="59"/>
      <c r="N3" s="1"/>
      <c r="O3" s="1"/>
    </row>
    <row r="4" spans="1:15" s="11" customFormat="1" ht="15.75" customHeight="1">
      <c r="A4" s="5">
        <v>1</v>
      </c>
      <c r="B4" s="6" t="s">
        <v>4</v>
      </c>
      <c r="C4" s="15">
        <f>30*12*240</f>
        <v>86400</v>
      </c>
      <c r="D4" s="15">
        <f>1250+75+200+150+125+1664.5+6472</f>
        <v>9936.5</v>
      </c>
      <c r="E4" s="15">
        <f>30+200+150+40+1307+7423</f>
        <v>9150</v>
      </c>
      <c r="F4" s="15">
        <f>125+455+7301+1111</f>
        <v>8992</v>
      </c>
      <c r="G4" s="15">
        <f>3031+7301</f>
        <v>10332</v>
      </c>
      <c r="H4" s="15">
        <f>30+180+680+781+5310</f>
        <v>6981</v>
      </c>
      <c r="I4" s="15">
        <f>229+285+7538</f>
        <v>8052</v>
      </c>
      <c r="J4" s="15">
        <f>485+100+150+835+9009</f>
        <v>10579</v>
      </c>
      <c r="K4" s="15">
        <f>C4-D4-E4-F4-G4-H4-I4-J4</f>
        <v>22377.5</v>
      </c>
      <c r="L4" s="59" t="s">
        <v>74</v>
      </c>
      <c r="M4" s="59"/>
      <c r="N4" s="10"/>
      <c r="O4" s="10"/>
    </row>
    <row r="5" spans="1:15" s="11" customFormat="1" ht="15.75" customHeight="1">
      <c r="A5" s="5">
        <f>A4+1</f>
        <v>2</v>
      </c>
      <c r="B5" s="6" t="s">
        <v>5</v>
      </c>
      <c r="C5" s="15">
        <f>750*30</f>
        <v>22500</v>
      </c>
      <c r="D5" s="15"/>
      <c r="E5" s="15">
        <f>965</f>
        <v>965</v>
      </c>
      <c r="F5" s="15"/>
      <c r="G5" s="15"/>
      <c r="H5" s="15"/>
      <c r="I5" s="15"/>
      <c r="J5" s="15">
        <f>2700+4256</f>
        <v>6956</v>
      </c>
      <c r="K5" s="15">
        <f aca="true" t="shared" si="0" ref="K5:K45">C5-D5-E5-F5-G5-H5-I5-J5</f>
        <v>14579</v>
      </c>
      <c r="L5" s="59" t="s">
        <v>75</v>
      </c>
      <c r="M5" s="59"/>
      <c r="N5" s="10"/>
      <c r="O5" s="10"/>
    </row>
    <row r="6" spans="1:15" s="11" customFormat="1" ht="15">
      <c r="A6" s="5">
        <f aca="true" t="shared" si="1" ref="A6:A35">A5+1</f>
        <v>3</v>
      </c>
      <c r="B6" s="6" t="s">
        <v>6</v>
      </c>
      <c r="C6" s="15">
        <f>3*30*240</f>
        <v>21600</v>
      </c>
      <c r="D6" s="15">
        <f>1096+520</f>
        <v>1616</v>
      </c>
      <c r="E6" s="15">
        <f>811+520</f>
        <v>1331</v>
      </c>
      <c r="F6" s="15">
        <f>520+1073</f>
        <v>1593</v>
      </c>
      <c r="G6" s="15">
        <f>1358.5+520</f>
        <v>1878.5</v>
      </c>
      <c r="H6" s="15">
        <f>940+520</f>
        <v>1460</v>
      </c>
      <c r="I6" s="15">
        <f>541+520</f>
        <v>1061</v>
      </c>
      <c r="J6" s="15">
        <f>1273+520</f>
        <v>1793</v>
      </c>
      <c r="K6" s="15">
        <f t="shared" si="0"/>
        <v>10867.5</v>
      </c>
      <c r="L6" s="59" t="s">
        <v>65</v>
      </c>
      <c r="M6" s="59"/>
      <c r="N6" s="10"/>
      <c r="O6" s="10"/>
    </row>
    <row r="7" spans="1:15" s="11" customFormat="1" ht="15.75" customHeight="1">
      <c r="A7" s="5">
        <f t="shared" si="1"/>
        <v>4</v>
      </c>
      <c r="B7" s="6" t="s">
        <v>7</v>
      </c>
      <c r="C7" s="15">
        <f>30*35</f>
        <v>1050</v>
      </c>
      <c r="D7" s="15"/>
      <c r="E7" s="15"/>
      <c r="F7" s="15"/>
      <c r="G7" s="15"/>
      <c r="H7" s="15"/>
      <c r="I7" s="15"/>
      <c r="J7" s="15"/>
      <c r="K7" s="15">
        <f t="shared" si="0"/>
        <v>1050</v>
      </c>
      <c r="L7" s="59" t="s">
        <v>76</v>
      </c>
      <c r="M7" s="59"/>
      <c r="N7" s="10"/>
      <c r="O7" s="10"/>
    </row>
    <row r="8" spans="1:15" s="11" customFormat="1" ht="15.75" customHeight="1">
      <c r="A8" s="5">
        <f t="shared" si="1"/>
        <v>5</v>
      </c>
      <c r="B8" s="6" t="s">
        <v>8</v>
      </c>
      <c r="C8" s="15">
        <f>100*30*12</f>
        <v>36000</v>
      </c>
      <c r="D8" s="15">
        <f>118+96+60+128.5+98</f>
        <v>500.5</v>
      </c>
      <c r="E8" s="15">
        <f>58+38</f>
        <v>96</v>
      </c>
      <c r="F8" s="15">
        <f>120</f>
        <v>120</v>
      </c>
      <c r="G8" s="15">
        <f>1000+76+74+57+150</f>
        <v>1357</v>
      </c>
      <c r="H8" s="15">
        <f>16+500+58</f>
        <v>574</v>
      </c>
      <c r="I8" s="15"/>
      <c r="J8" s="15">
        <f>160</f>
        <v>160</v>
      </c>
      <c r="K8" s="15">
        <f t="shared" si="0"/>
        <v>33192.5</v>
      </c>
      <c r="L8" s="59" t="s">
        <v>77</v>
      </c>
      <c r="M8" s="59"/>
      <c r="N8" s="10"/>
      <c r="O8" s="10"/>
    </row>
    <row r="9" spans="1:15" s="11" customFormat="1" ht="15.75" customHeight="1">
      <c r="A9" s="5">
        <f t="shared" si="1"/>
        <v>6</v>
      </c>
      <c r="B9" s="6" t="s">
        <v>9</v>
      </c>
      <c r="C9" s="15">
        <f>250*10*12</f>
        <v>30000</v>
      </c>
      <c r="D9" s="15">
        <f>1170+1250+1250</f>
        <v>3670</v>
      </c>
      <c r="E9" s="15">
        <f>3000+1170</f>
        <v>4170</v>
      </c>
      <c r="F9" s="15">
        <f>3000+1170</f>
        <v>4170</v>
      </c>
      <c r="G9" s="15">
        <f>1170+3500</f>
        <v>4670</v>
      </c>
      <c r="H9" s="15">
        <f>4000+1270</f>
        <v>5270</v>
      </c>
      <c r="I9" s="15">
        <f>4000+1270</f>
        <v>5270</v>
      </c>
      <c r="J9" s="15">
        <f>4000+1690</f>
        <v>5690</v>
      </c>
      <c r="K9" s="15">
        <f t="shared" si="0"/>
        <v>-2910</v>
      </c>
      <c r="L9" s="59" t="s">
        <v>42</v>
      </c>
      <c r="M9" s="59"/>
      <c r="N9" s="10"/>
      <c r="O9" s="10"/>
    </row>
    <row r="10" spans="1:15" s="11" customFormat="1" ht="15">
      <c r="A10" s="5">
        <f t="shared" si="1"/>
        <v>7</v>
      </c>
      <c r="B10" s="6" t="s">
        <v>10</v>
      </c>
      <c r="C10" s="15">
        <v>4500</v>
      </c>
      <c r="D10" s="15"/>
      <c r="E10" s="15"/>
      <c r="F10" s="15"/>
      <c r="G10" s="15"/>
      <c r="H10" s="15"/>
      <c r="I10" s="15"/>
      <c r="J10" s="15"/>
      <c r="K10" s="15">
        <f t="shared" si="0"/>
        <v>4500</v>
      </c>
      <c r="L10" s="59" t="s">
        <v>43</v>
      </c>
      <c r="M10" s="59"/>
      <c r="N10" s="10"/>
      <c r="O10" s="10"/>
    </row>
    <row r="11" spans="1:15" s="11" customFormat="1" ht="15.75" customHeight="1">
      <c r="A11" s="5">
        <f t="shared" si="1"/>
        <v>8</v>
      </c>
      <c r="B11" s="6" t="s">
        <v>11</v>
      </c>
      <c r="C11" s="15">
        <v>1500</v>
      </c>
      <c r="D11" s="15"/>
      <c r="E11" s="15"/>
      <c r="F11" s="15"/>
      <c r="G11" s="15"/>
      <c r="H11" s="15">
        <f>50</f>
        <v>50</v>
      </c>
      <c r="I11" s="15"/>
      <c r="J11" s="15"/>
      <c r="K11" s="15">
        <f t="shared" si="0"/>
        <v>1450</v>
      </c>
      <c r="L11" s="59" t="s">
        <v>44</v>
      </c>
      <c r="M11" s="59"/>
      <c r="N11" s="10"/>
      <c r="O11" s="10"/>
    </row>
    <row r="12" spans="1:15" s="11" customFormat="1" ht="15.75" customHeight="1">
      <c r="A12" s="5">
        <f t="shared" si="1"/>
        <v>9</v>
      </c>
      <c r="B12" s="6" t="s">
        <v>12</v>
      </c>
      <c r="C12" s="15">
        <v>2500</v>
      </c>
      <c r="D12" s="15"/>
      <c r="E12" s="15"/>
      <c r="F12" s="15"/>
      <c r="G12" s="15"/>
      <c r="H12" s="15"/>
      <c r="I12" s="15"/>
      <c r="J12" s="15"/>
      <c r="K12" s="15">
        <f t="shared" si="0"/>
        <v>2500</v>
      </c>
      <c r="L12" s="59" t="s">
        <v>45</v>
      </c>
      <c r="M12" s="59"/>
      <c r="N12" s="10"/>
      <c r="O12" s="10"/>
    </row>
    <row r="13" spans="1:15" s="11" customFormat="1" ht="15">
      <c r="A13" s="5">
        <f t="shared" si="1"/>
        <v>10</v>
      </c>
      <c r="B13" s="6" t="s">
        <v>13</v>
      </c>
      <c r="C13" s="15">
        <v>3500</v>
      </c>
      <c r="D13" s="15"/>
      <c r="E13" s="15"/>
      <c r="F13" s="15"/>
      <c r="G13" s="15"/>
      <c r="H13" s="15"/>
      <c r="I13" s="15"/>
      <c r="J13" s="15"/>
      <c r="K13" s="15">
        <f t="shared" si="0"/>
        <v>3500</v>
      </c>
      <c r="L13" s="59" t="s">
        <v>46</v>
      </c>
      <c r="M13" s="59"/>
      <c r="N13" s="10"/>
      <c r="O13" s="10"/>
    </row>
    <row r="14" spans="1:15" s="11" customFormat="1" ht="15">
      <c r="A14" s="5">
        <f t="shared" si="1"/>
        <v>11</v>
      </c>
      <c r="B14" s="6" t="s">
        <v>14</v>
      </c>
      <c r="C14" s="15">
        <v>7500</v>
      </c>
      <c r="D14" s="15">
        <f>400+100+150</f>
        <v>650</v>
      </c>
      <c r="E14" s="15">
        <f>70</f>
        <v>70</v>
      </c>
      <c r="F14" s="15"/>
      <c r="G14" s="15">
        <f>732</f>
        <v>732</v>
      </c>
      <c r="H14" s="15">
        <f>95</f>
        <v>95</v>
      </c>
      <c r="I14" s="15"/>
      <c r="J14" s="15"/>
      <c r="K14" s="15">
        <f t="shared" si="0"/>
        <v>5953</v>
      </c>
      <c r="L14" s="59"/>
      <c r="M14" s="59"/>
      <c r="N14" s="10"/>
      <c r="O14" s="10"/>
    </row>
    <row r="15" spans="1:15" s="11" customFormat="1" ht="15">
      <c r="A15" s="5">
        <f t="shared" si="1"/>
        <v>12</v>
      </c>
      <c r="B15" s="6" t="s">
        <v>15</v>
      </c>
      <c r="C15" s="15">
        <v>8000</v>
      </c>
      <c r="D15" s="15">
        <f>32+35</f>
        <v>67</v>
      </c>
      <c r="E15" s="15">
        <f>45</f>
        <v>45</v>
      </c>
      <c r="F15" s="15"/>
      <c r="G15" s="15"/>
      <c r="H15" s="15">
        <f>99</f>
        <v>99</v>
      </c>
      <c r="I15" s="15"/>
      <c r="J15" s="15">
        <f>56.5+34+32</f>
        <v>122.5</v>
      </c>
      <c r="K15" s="15">
        <f t="shared" si="0"/>
        <v>7666.5</v>
      </c>
      <c r="L15" s="59" t="s">
        <v>47</v>
      </c>
      <c r="M15" s="59"/>
      <c r="N15" s="10"/>
      <c r="O15" s="10"/>
    </row>
    <row r="16" spans="1:15" s="11" customFormat="1" ht="15.75" customHeight="1">
      <c r="A16" s="5">
        <f t="shared" si="1"/>
        <v>13</v>
      </c>
      <c r="B16" s="6" t="s">
        <v>16</v>
      </c>
      <c r="C16" s="15">
        <v>10000</v>
      </c>
      <c r="D16" s="15">
        <f>2645</f>
        <v>2645</v>
      </c>
      <c r="E16" s="15">
        <f>100</f>
        <v>100</v>
      </c>
      <c r="F16" s="15">
        <f>28+112+20</f>
        <v>160</v>
      </c>
      <c r="G16" s="15">
        <f>116+25</f>
        <v>141</v>
      </c>
      <c r="H16" s="15"/>
      <c r="I16" s="15"/>
      <c r="J16" s="15">
        <f>5760+60</f>
        <v>5820</v>
      </c>
      <c r="K16" s="15">
        <f t="shared" si="0"/>
        <v>1134</v>
      </c>
      <c r="L16" s="59" t="s">
        <v>48</v>
      </c>
      <c r="M16" s="59"/>
      <c r="N16" s="10"/>
      <c r="O16" s="10"/>
    </row>
    <row r="17" spans="1:15" s="11" customFormat="1" ht="27.75">
      <c r="A17" s="5">
        <f t="shared" si="1"/>
        <v>14</v>
      </c>
      <c r="B17" s="6" t="s">
        <v>17</v>
      </c>
      <c r="C17" s="15">
        <v>15000</v>
      </c>
      <c r="D17" s="15"/>
      <c r="E17" s="15"/>
      <c r="F17" s="15"/>
      <c r="G17" s="15"/>
      <c r="H17" s="15"/>
      <c r="I17" s="15"/>
      <c r="J17" s="15">
        <f>10</f>
        <v>10</v>
      </c>
      <c r="K17" s="15">
        <f t="shared" si="0"/>
        <v>14990</v>
      </c>
      <c r="L17" s="59"/>
      <c r="M17" s="59"/>
      <c r="N17" s="10"/>
      <c r="O17" s="10"/>
    </row>
    <row r="18" spans="1:15" s="11" customFormat="1" ht="15">
      <c r="A18" s="5">
        <v>15</v>
      </c>
      <c r="B18" s="6" t="s">
        <v>18</v>
      </c>
      <c r="C18" s="15">
        <v>13000</v>
      </c>
      <c r="D18" s="15"/>
      <c r="E18" s="15"/>
      <c r="F18" s="15"/>
      <c r="G18" s="15">
        <f>2400+1220+116+123+2347</f>
        <v>6206</v>
      </c>
      <c r="H18" s="15"/>
      <c r="I18" s="15"/>
      <c r="J18" s="15"/>
      <c r="K18" s="15">
        <f t="shared" si="0"/>
        <v>6794</v>
      </c>
      <c r="L18" s="60" t="s">
        <v>35</v>
      </c>
      <c r="M18" s="60"/>
      <c r="N18" s="10"/>
      <c r="O18" s="10"/>
    </row>
    <row r="19" spans="1:15" ht="18.75" customHeight="1">
      <c r="A19" s="60" t="s">
        <v>20</v>
      </c>
      <c r="B19" s="60"/>
      <c r="C19" s="15"/>
      <c r="D19" s="15"/>
      <c r="E19" s="15"/>
      <c r="F19" s="15"/>
      <c r="G19" s="15"/>
      <c r="H19" s="15"/>
      <c r="I19" s="15"/>
      <c r="J19" s="15"/>
      <c r="K19" s="15">
        <f t="shared" si="0"/>
        <v>0</v>
      </c>
      <c r="L19" s="14"/>
      <c r="M19" s="14" t="s">
        <v>41</v>
      </c>
      <c r="N19" s="1"/>
      <c r="O19" s="1"/>
    </row>
    <row r="20" spans="1:15" s="11" customFormat="1" ht="15">
      <c r="A20" s="5">
        <v>16</v>
      </c>
      <c r="B20" s="6" t="s">
        <v>21</v>
      </c>
      <c r="C20" s="15">
        <f>M29*12</f>
        <v>393000</v>
      </c>
      <c r="D20" s="15">
        <f>5000+5800+1650+1650+1500+1400+1500+250</f>
        <v>18750</v>
      </c>
      <c r="E20" s="15">
        <f>5000+5800+1500+1400+1500+1450+1650</f>
        <v>18300</v>
      </c>
      <c r="F20" s="15">
        <f>8000+5800+1550+2100+1595+2000+500+1500</f>
        <v>23045</v>
      </c>
      <c r="G20" s="15">
        <f>8000+5800+1650+2000+1650+1500+1400+1500</f>
        <v>23500</v>
      </c>
      <c r="H20" s="15">
        <f>8000+500+5800+2000+3500+1650+1650+1500+1400+1500</f>
        <v>27500</v>
      </c>
      <c r="I20" s="15">
        <f>8000+3500+5800+2000+3300+3000+1400+500</f>
        <v>27500</v>
      </c>
      <c r="J20" s="15">
        <f>5800+2000+3500+1500+1400+1500+500+8000+500</f>
        <v>24700</v>
      </c>
      <c r="K20" s="15">
        <v>229705</v>
      </c>
      <c r="L20" s="5" t="s">
        <v>36</v>
      </c>
      <c r="M20" s="15">
        <v>6500</v>
      </c>
      <c r="N20" s="10"/>
      <c r="O20" s="10"/>
    </row>
    <row r="21" spans="1:15" s="11" customFormat="1" ht="15">
      <c r="A21" s="5">
        <f t="shared" si="1"/>
        <v>17</v>
      </c>
      <c r="B21" s="6" t="s">
        <v>22</v>
      </c>
      <c r="C21" s="15">
        <f>C20/100*13.65</f>
        <v>53644.5</v>
      </c>
      <c r="D21" s="15"/>
      <c r="E21" s="15"/>
      <c r="F21" s="15"/>
      <c r="G21" s="15"/>
      <c r="H21" s="15"/>
      <c r="I21" s="15"/>
      <c r="J21" s="15"/>
      <c r="K21" s="15">
        <v>53644.5</v>
      </c>
      <c r="L21" s="5" t="s">
        <v>37</v>
      </c>
      <c r="M21" s="15">
        <v>6000</v>
      </c>
      <c r="N21" s="10"/>
      <c r="O21" s="10"/>
    </row>
    <row r="22" spans="1:15" s="11" customFormat="1" ht="15">
      <c r="A22" s="5">
        <f t="shared" si="1"/>
        <v>18</v>
      </c>
      <c r="B22" s="6" t="s">
        <v>98</v>
      </c>
      <c r="C22" s="15">
        <f>13*240*7</f>
        <v>21840</v>
      </c>
      <c r="D22" s="15">
        <f>1071+640+182</f>
        <v>1893</v>
      </c>
      <c r="E22" s="15"/>
      <c r="F22" s="15">
        <f>203+115+410+222</f>
        <v>950</v>
      </c>
      <c r="G22" s="15"/>
      <c r="H22" s="15"/>
      <c r="I22" s="15"/>
      <c r="J22" s="15">
        <f>1465+870</f>
        <v>2335</v>
      </c>
      <c r="K22" s="15">
        <f t="shared" si="0"/>
        <v>16662</v>
      </c>
      <c r="L22" s="5" t="s">
        <v>62</v>
      </c>
      <c r="M22" s="15">
        <v>2500</v>
      </c>
      <c r="N22" s="10"/>
      <c r="O22" s="10"/>
    </row>
    <row r="23" spans="1:15" s="11" customFormat="1" ht="15">
      <c r="A23" s="5">
        <f t="shared" si="1"/>
        <v>19</v>
      </c>
      <c r="B23" s="6" t="s">
        <v>23</v>
      </c>
      <c r="C23" s="15">
        <f>1000*8</f>
        <v>8000</v>
      </c>
      <c r="D23" s="15"/>
      <c r="E23" s="15"/>
      <c r="F23" s="15"/>
      <c r="G23" s="15"/>
      <c r="H23" s="15"/>
      <c r="I23" s="15"/>
      <c r="J23" s="15"/>
      <c r="K23" s="15">
        <f t="shared" si="0"/>
        <v>8000</v>
      </c>
      <c r="L23" s="21" t="s">
        <v>64</v>
      </c>
      <c r="M23" s="15">
        <v>6000</v>
      </c>
      <c r="N23" s="10"/>
      <c r="O23" s="10"/>
    </row>
    <row r="24" spans="1:15" s="11" customFormat="1" ht="15">
      <c r="A24" s="5">
        <v>20</v>
      </c>
      <c r="B24" s="6" t="s">
        <v>30</v>
      </c>
      <c r="C24" s="15">
        <v>4500</v>
      </c>
      <c r="D24" s="15">
        <f>20+125+48+800+120</f>
        <v>1113</v>
      </c>
      <c r="E24" s="15">
        <f>779+1142</f>
        <v>1921</v>
      </c>
      <c r="F24" s="15">
        <f>111+1029</f>
        <v>1140</v>
      </c>
      <c r="G24" s="15">
        <f>285+300</f>
        <v>585</v>
      </c>
      <c r="H24" s="15">
        <f>100</f>
        <v>100</v>
      </c>
      <c r="I24" s="15">
        <f>60</f>
        <v>60</v>
      </c>
      <c r="J24" s="15"/>
      <c r="K24" s="15">
        <f t="shared" si="0"/>
        <v>-419</v>
      </c>
      <c r="L24" s="21" t="s">
        <v>63</v>
      </c>
      <c r="M24" s="15">
        <v>3000</v>
      </c>
      <c r="N24" s="10"/>
      <c r="O24" s="10"/>
    </row>
    <row r="25" spans="1:15" s="11" customFormat="1" ht="15">
      <c r="A25" s="5">
        <v>21</v>
      </c>
      <c r="B25" s="6" t="s">
        <v>78</v>
      </c>
      <c r="C25" s="15">
        <v>15000</v>
      </c>
      <c r="D25" s="15"/>
      <c r="E25" s="15"/>
      <c r="F25" s="15"/>
      <c r="G25" s="15"/>
      <c r="H25" s="15"/>
      <c r="I25" s="15"/>
      <c r="J25" s="15"/>
      <c r="K25" s="15">
        <f t="shared" si="0"/>
        <v>15000</v>
      </c>
      <c r="L25" s="5" t="s">
        <v>38</v>
      </c>
      <c r="M25" s="15">
        <v>1750</v>
      </c>
      <c r="N25" s="10"/>
      <c r="O25" s="10"/>
    </row>
    <row r="26" spans="1:15" s="11" customFormat="1" ht="15">
      <c r="A26" s="5">
        <v>22</v>
      </c>
      <c r="B26" s="6" t="s">
        <v>80</v>
      </c>
      <c r="C26" s="15">
        <v>5000</v>
      </c>
      <c r="D26" s="15"/>
      <c r="E26" s="15"/>
      <c r="F26" s="15"/>
      <c r="G26" s="15"/>
      <c r="H26" s="15"/>
      <c r="I26" s="15"/>
      <c r="J26" s="15"/>
      <c r="K26" s="15">
        <f t="shared" si="0"/>
        <v>5000</v>
      </c>
      <c r="L26" s="5" t="s">
        <v>38</v>
      </c>
      <c r="M26" s="15">
        <v>1750</v>
      </c>
      <c r="N26" s="10"/>
      <c r="O26" s="10"/>
    </row>
    <row r="27" spans="1:15" ht="16.5">
      <c r="A27" s="14"/>
      <c r="B27" s="51" t="s">
        <v>102</v>
      </c>
      <c r="C27" s="15"/>
      <c r="D27" s="15"/>
      <c r="E27" s="15"/>
      <c r="F27" s="15">
        <v>3500</v>
      </c>
      <c r="G27" s="15"/>
      <c r="H27" s="15"/>
      <c r="I27" s="15"/>
      <c r="J27" s="15"/>
      <c r="K27" s="15">
        <f t="shared" si="0"/>
        <v>-3500</v>
      </c>
      <c r="L27" s="5" t="s">
        <v>39</v>
      </c>
      <c r="M27" s="15">
        <v>1750</v>
      </c>
      <c r="N27" s="1"/>
      <c r="O27" s="1"/>
    </row>
    <row r="28" spans="1:15" ht="16.5">
      <c r="A28" s="14"/>
      <c r="B28" s="51" t="s">
        <v>104</v>
      </c>
      <c r="C28" s="15"/>
      <c r="D28" s="15"/>
      <c r="E28" s="15"/>
      <c r="F28" s="15"/>
      <c r="G28" s="15">
        <v>7200</v>
      </c>
      <c r="H28" s="15"/>
      <c r="I28" s="15"/>
      <c r="J28" s="15"/>
      <c r="K28" s="15">
        <f t="shared" si="0"/>
        <v>-7200</v>
      </c>
      <c r="L28" s="5" t="s">
        <v>54</v>
      </c>
      <c r="M28" s="15">
        <v>3500</v>
      </c>
      <c r="N28" s="1"/>
      <c r="O28" s="1"/>
    </row>
    <row r="29" spans="1:15" ht="27.75">
      <c r="A29" s="14"/>
      <c r="B29" s="14" t="s">
        <v>105</v>
      </c>
      <c r="C29" s="15"/>
      <c r="D29" s="15"/>
      <c r="E29" s="15"/>
      <c r="F29" s="15"/>
      <c r="G29" s="15"/>
      <c r="H29" s="16">
        <f>150+2280+16740+162000+5340</f>
        <v>186510</v>
      </c>
      <c r="I29" s="16"/>
      <c r="J29" s="16"/>
      <c r="K29" s="15">
        <f t="shared" si="0"/>
        <v>-186510</v>
      </c>
      <c r="L29" s="12" t="s">
        <v>40</v>
      </c>
      <c r="M29" s="16">
        <f>SUM(M20:M29)</f>
        <v>32750</v>
      </c>
      <c r="N29" s="1"/>
      <c r="O29" s="1"/>
    </row>
    <row r="30" spans="1:15" ht="18.75" customHeight="1">
      <c r="A30" s="60" t="s">
        <v>24</v>
      </c>
      <c r="B30" s="60"/>
      <c r="C30" s="15"/>
      <c r="D30" s="15"/>
      <c r="E30" s="15"/>
      <c r="F30" s="15"/>
      <c r="G30" s="15"/>
      <c r="H30" s="15"/>
      <c r="I30" s="15"/>
      <c r="J30" s="15"/>
      <c r="K30" s="15">
        <f t="shared" si="0"/>
        <v>0</v>
      </c>
      <c r="N30" s="1"/>
      <c r="O30" s="1"/>
    </row>
    <row r="31" spans="1:15" s="11" customFormat="1" ht="15">
      <c r="A31" s="5">
        <v>23</v>
      </c>
      <c r="B31" s="6" t="s">
        <v>25</v>
      </c>
      <c r="C31" s="15">
        <v>8000</v>
      </c>
      <c r="D31" s="15">
        <f>31+348+20+50+76</f>
        <v>525</v>
      </c>
      <c r="E31" s="15"/>
      <c r="F31" s="15">
        <f>78</f>
        <v>78</v>
      </c>
      <c r="G31" s="15">
        <f>9</f>
        <v>9</v>
      </c>
      <c r="H31" s="15">
        <f>61</f>
        <v>61</v>
      </c>
      <c r="I31" s="15">
        <f>2000</f>
        <v>2000</v>
      </c>
      <c r="J31" s="15">
        <f>32+230+60</f>
        <v>322</v>
      </c>
      <c r="K31" s="15">
        <f t="shared" si="0"/>
        <v>5005</v>
      </c>
      <c r="N31" s="10"/>
      <c r="O31" s="10"/>
    </row>
    <row r="32" spans="1:15" s="11" customFormat="1" ht="15">
      <c r="A32" s="5">
        <f t="shared" si="1"/>
        <v>24</v>
      </c>
      <c r="B32" s="6" t="s">
        <v>26</v>
      </c>
      <c r="C32" s="15">
        <v>1000</v>
      </c>
      <c r="D32" s="15">
        <f>20+15+20+20+67</f>
        <v>142</v>
      </c>
      <c r="E32" s="15">
        <f>20</f>
        <v>20</v>
      </c>
      <c r="F32" s="15">
        <f>56</f>
        <v>56</v>
      </c>
      <c r="G32" s="15">
        <f>20</f>
        <v>20</v>
      </c>
      <c r="H32" s="15">
        <f>110</f>
        <v>110</v>
      </c>
      <c r="I32" s="15">
        <f>56</f>
        <v>56</v>
      </c>
      <c r="J32" s="15">
        <f>20+45</f>
        <v>65</v>
      </c>
      <c r="K32" s="15">
        <f t="shared" si="0"/>
        <v>531</v>
      </c>
      <c r="L32" s="12"/>
      <c r="M32" s="16"/>
      <c r="N32" s="10"/>
      <c r="O32" s="10"/>
    </row>
    <row r="33" spans="1:15" s="11" customFormat="1" ht="15">
      <c r="A33" s="5">
        <f t="shared" si="1"/>
        <v>25</v>
      </c>
      <c r="B33" s="6" t="s">
        <v>27</v>
      </c>
      <c r="C33" s="15">
        <v>3500</v>
      </c>
      <c r="D33" s="15">
        <f>17+26</f>
        <v>43</v>
      </c>
      <c r="E33" s="15">
        <f>398+85+765</f>
        <v>1248</v>
      </c>
      <c r="F33" s="15">
        <f>108+200</f>
        <v>308</v>
      </c>
      <c r="G33" s="15">
        <f>230+556</f>
        <v>786</v>
      </c>
      <c r="H33" s="15">
        <f>124</f>
        <v>124</v>
      </c>
      <c r="I33" s="15">
        <f>40+14+40</f>
        <v>94</v>
      </c>
      <c r="J33" s="15">
        <f>85+40</f>
        <v>125</v>
      </c>
      <c r="K33" s="15">
        <f t="shared" si="0"/>
        <v>772</v>
      </c>
      <c r="L33" s="12"/>
      <c r="M33" s="15"/>
      <c r="N33" s="10"/>
      <c r="O33" s="10"/>
    </row>
    <row r="34" spans="1:15" s="11" customFormat="1" ht="15">
      <c r="A34" s="5">
        <f t="shared" si="1"/>
        <v>26</v>
      </c>
      <c r="B34" s="6" t="s">
        <v>28</v>
      </c>
      <c r="C34" s="15">
        <v>2400</v>
      </c>
      <c r="D34" s="15"/>
      <c r="E34" s="15">
        <f>165</f>
        <v>165</v>
      </c>
      <c r="F34" s="15"/>
      <c r="G34" s="15">
        <f>105</f>
        <v>105</v>
      </c>
      <c r="H34" s="15"/>
      <c r="I34" s="15">
        <v>196</v>
      </c>
      <c r="J34" s="15">
        <v>63</v>
      </c>
      <c r="K34" s="15">
        <f t="shared" si="0"/>
        <v>1871</v>
      </c>
      <c r="L34" s="59" t="s">
        <v>82</v>
      </c>
      <c r="M34" s="59"/>
      <c r="N34" s="10"/>
      <c r="O34" s="10"/>
    </row>
    <row r="35" spans="1:15" s="11" customFormat="1" ht="15">
      <c r="A35" s="5">
        <f t="shared" si="1"/>
        <v>27</v>
      </c>
      <c r="B35" s="6" t="s">
        <v>49</v>
      </c>
      <c r="C35" s="15">
        <v>6000</v>
      </c>
      <c r="D35" s="15">
        <f>333+112</f>
        <v>445</v>
      </c>
      <c r="E35" s="15">
        <f>123+100+333</f>
        <v>556</v>
      </c>
      <c r="F35" s="15">
        <f>125+454+50</f>
        <v>629</v>
      </c>
      <c r="G35" s="15">
        <f>117+333</f>
        <v>450</v>
      </c>
      <c r="H35" s="15">
        <f>128</f>
        <v>128</v>
      </c>
      <c r="I35" s="15">
        <v>125</v>
      </c>
      <c r="J35" s="15">
        <f>100+393</f>
        <v>493</v>
      </c>
      <c r="K35" s="15">
        <f t="shared" si="0"/>
        <v>3174</v>
      </c>
      <c r="L35" s="5" t="s">
        <v>61</v>
      </c>
      <c r="M35" s="5"/>
      <c r="N35" s="10"/>
      <c r="O35" s="10"/>
    </row>
    <row r="36" spans="1:15" s="11" customFormat="1" ht="15.75" customHeight="1">
      <c r="A36" s="5">
        <v>28</v>
      </c>
      <c r="B36" s="6" t="s">
        <v>53</v>
      </c>
      <c r="C36" s="15"/>
      <c r="D36" s="15"/>
      <c r="E36" s="15"/>
      <c r="F36" s="15"/>
      <c r="G36" s="15"/>
      <c r="H36" s="15"/>
      <c r="I36" s="15"/>
      <c r="J36" s="15"/>
      <c r="K36" s="15"/>
      <c r="L36" s="59" t="s">
        <v>83</v>
      </c>
      <c r="M36" s="59"/>
      <c r="N36" s="10"/>
      <c r="O36" s="10"/>
    </row>
    <row r="37" spans="1:15" ht="18.75" customHeight="1">
      <c r="A37" s="60" t="s">
        <v>60</v>
      </c>
      <c r="B37" s="60"/>
      <c r="C37" s="15"/>
      <c r="D37" s="15"/>
      <c r="E37" s="15"/>
      <c r="F37" s="15"/>
      <c r="G37" s="15"/>
      <c r="H37" s="15"/>
      <c r="I37" s="15"/>
      <c r="J37" s="15"/>
      <c r="K37" s="15"/>
      <c r="L37" s="5"/>
      <c r="M37" s="2"/>
      <c r="N37" s="1"/>
      <c r="O37" s="1"/>
    </row>
    <row r="38" spans="1:15" s="11" customFormat="1" ht="15">
      <c r="A38" s="5">
        <v>29</v>
      </c>
      <c r="B38" s="9" t="s">
        <v>59</v>
      </c>
      <c r="C38" s="17">
        <v>1200</v>
      </c>
      <c r="D38" s="17"/>
      <c r="E38" s="17"/>
      <c r="F38" s="17"/>
      <c r="G38" s="17"/>
      <c r="H38" s="17"/>
      <c r="I38" s="17"/>
      <c r="J38" s="17"/>
      <c r="K38" s="15">
        <f t="shared" si="0"/>
        <v>1200</v>
      </c>
      <c r="L38" s="59" t="s">
        <v>50</v>
      </c>
      <c r="M38" s="59"/>
      <c r="N38" s="10"/>
      <c r="O38" s="10"/>
    </row>
    <row r="39" spans="1:15" s="11" customFormat="1" ht="15">
      <c r="A39" s="5">
        <f>A38+1</f>
        <v>30</v>
      </c>
      <c r="B39" s="9" t="s">
        <v>55</v>
      </c>
      <c r="C39" s="17">
        <v>13200</v>
      </c>
      <c r="D39" s="17">
        <f>145+110</f>
        <v>255</v>
      </c>
      <c r="E39" s="17">
        <f>204</f>
        <v>204</v>
      </c>
      <c r="F39" s="17"/>
      <c r="G39" s="17"/>
      <c r="H39" s="17"/>
      <c r="I39" s="17">
        <v>2500</v>
      </c>
      <c r="J39" s="17"/>
      <c r="K39" s="15">
        <f t="shared" si="0"/>
        <v>10241</v>
      </c>
      <c r="L39" s="59" t="s">
        <v>56</v>
      </c>
      <c r="M39" s="59"/>
      <c r="N39" s="10"/>
      <c r="O39" s="10"/>
    </row>
    <row r="40" spans="1:15" s="11" customFormat="1" ht="15.75" customHeight="1">
      <c r="A40" s="5">
        <f>A39+1</f>
        <v>31</v>
      </c>
      <c r="B40" s="9" t="s">
        <v>57</v>
      </c>
      <c r="C40" s="17">
        <f>7500*12</f>
        <v>90000</v>
      </c>
      <c r="D40" s="17">
        <f>2664+1650+1931+1400+3238+1968</f>
        <v>12851</v>
      </c>
      <c r="E40" s="17">
        <f>300+3950+7420</f>
        <v>11670</v>
      </c>
      <c r="F40" s="17">
        <v>9888</v>
      </c>
      <c r="G40" s="17">
        <f>200+536+915+300+8236</f>
        <v>10187</v>
      </c>
      <c r="H40" s="17">
        <v>9361</v>
      </c>
      <c r="I40" s="17">
        <f>5949</f>
        <v>5949</v>
      </c>
      <c r="J40" s="17">
        <f>1038+10758</f>
        <v>11796</v>
      </c>
      <c r="K40" s="15">
        <f t="shared" si="0"/>
        <v>18298</v>
      </c>
      <c r="L40" s="59" t="s">
        <v>79</v>
      </c>
      <c r="M40" s="59"/>
      <c r="N40" s="10"/>
      <c r="O40" s="10"/>
    </row>
    <row r="41" spans="1:15" s="11" customFormat="1" ht="15.75" customHeight="1">
      <c r="A41" s="5">
        <f>A40+1</f>
        <v>32</v>
      </c>
      <c r="B41" s="9" t="s">
        <v>29</v>
      </c>
      <c r="C41" s="17">
        <v>4500</v>
      </c>
      <c r="D41" s="17"/>
      <c r="E41" s="17">
        <f>550</f>
        <v>550</v>
      </c>
      <c r="F41" s="17">
        <f>200</f>
        <v>200</v>
      </c>
      <c r="G41" s="17"/>
      <c r="H41" s="17">
        <f>500</f>
        <v>500</v>
      </c>
      <c r="I41" s="17"/>
      <c r="J41" s="17"/>
      <c r="K41" s="15">
        <f t="shared" si="0"/>
        <v>3250</v>
      </c>
      <c r="L41" s="59" t="s">
        <v>84</v>
      </c>
      <c r="M41" s="59"/>
      <c r="N41" s="10"/>
      <c r="O41" s="10"/>
    </row>
    <row r="42" spans="1:15" s="11" customFormat="1" ht="15.75" customHeight="1">
      <c r="A42" s="5">
        <f>A41+1</f>
        <v>33</v>
      </c>
      <c r="B42" s="9" t="s">
        <v>31</v>
      </c>
      <c r="C42" s="17">
        <v>5000</v>
      </c>
      <c r="D42" s="17"/>
      <c r="E42" s="17"/>
      <c r="F42" s="17"/>
      <c r="G42" s="17"/>
      <c r="H42" s="17"/>
      <c r="I42" s="17"/>
      <c r="J42" s="17"/>
      <c r="K42" s="15">
        <f t="shared" si="0"/>
        <v>5000</v>
      </c>
      <c r="L42" s="59" t="s">
        <v>51</v>
      </c>
      <c r="M42" s="59"/>
      <c r="N42" s="10"/>
      <c r="O42" s="10"/>
    </row>
    <row r="43" spans="1:15" s="11" customFormat="1" ht="15">
      <c r="A43" s="5">
        <f>A42+1</f>
        <v>34</v>
      </c>
      <c r="B43" s="9" t="s">
        <v>19</v>
      </c>
      <c r="C43" s="17">
        <v>2000</v>
      </c>
      <c r="D43" s="17"/>
      <c r="E43" s="17"/>
      <c r="F43" s="17"/>
      <c r="G43" s="17"/>
      <c r="H43" s="17"/>
      <c r="I43" s="17"/>
      <c r="J43" s="17"/>
      <c r="K43" s="15">
        <f t="shared" si="0"/>
        <v>2000</v>
      </c>
      <c r="L43" s="10"/>
      <c r="M43" s="10"/>
      <c r="N43" s="10"/>
      <c r="O43" s="10"/>
    </row>
    <row r="44" spans="1:15" s="11" customFormat="1" ht="15">
      <c r="A44" s="5">
        <v>35</v>
      </c>
      <c r="B44" s="9" t="s">
        <v>97</v>
      </c>
      <c r="C44" s="17"/>
      <c r="D44" s="17">
        <f>2850+1800+16800</f>
        <v>21450</v>
      </c>
      <c r="E44" s="17">
        <f>12600+3525</f>
        <v>16125</v>
      </c>
      <c r="F44" s="17">
        <f>14000</f>
        <v>14000</v>
      </c>
      <c r="G44" s="17">
        <v>16800</v>
      </c>
      <c r="H44" s="17"/>
      <c r="I44" s="17"/>
      <c r="J44" s="17">
        <v>2000</v>
      </c>
      <c r="K44" s="15">
        <f t="shared" si="0"/>
        <v>-70375</v>
      </c>
      <c r="L44" s="10"/>
      <c r="M44" s="10"/>
      <c r="N44" s="10"/>
      <c r="O44" s="10"/>
    </row>
    <row r="45" spans="1:15" s="11" customFormat="1" ht="15">
      <c r="A45" s="5">
        <v>36</v>
      </c>
      <c r="B45" s="9" t="s">
        <v>101</v>
      </c>
      <c r="C45" s="17"/>
      <c r="D45" s="17"/>
      <c r="E45" s="17">
        <f>231+547</f>
        <v>778</v>
      </c>
      <c r="F45" s="17">
        <f>70</f>
        <v>70</v>
      </c>
      <c r="G45" s="17">
        <f>1145</f>
        <v>1145</v>
      </c>
      <c r="H45" s="17"/>
      <c r="I45" s="17">
        <f>96</f>
        <v>96</v>
      </c>
      <c r="J45" s="17">
        <f>4587</f>
        <v>4587</v>
      </c>
      <c r="K45" s="15">
        <f t="shared" si="0"/>
        <v>-6676</v>
      </c>
      <c r="L45" s="10"/>
      <c r="M45" s="10"/>
      <c r="N45" s="10"/>
      <c r="O45" s="10"/>
    </row>
    <row r="46" spans="1:15" s="11" customFormat="1" ht="15">
      <c r="A46" s="5"/>
      <c r="B46" s="9" t="s">
        <v>52</v>
      </c>
      <c r="C46" s="50">
        <f>SUM(C4:C43)</f>
        <v>900834.5</v>
      </c>
      <c r="D46" s="50">
        <f>SUM(D4:D44)</f>
        <v>76552</v>
      </c>
      <c r="E46" s="50">
        <f aca="true" t="shared" si="2" ref="E46:J46">SUM(E4:E45)</f>
        <v>67464</v>
      </c>
      <c r="F46" s="50">
        <f t="shared" si="2"/>
        <v>68899</v>
      </c>
      <c r="G46" s="50">
        <f t="shared" si="2"/>
        <v>86103.5</v>
      </c>
      <c r="H46" s="50">
        <f t="shared" si="2"/>
        <v>238923</v>
      </c>
      <c r="I46" s="50">
        <f t="shared" si="2"/>
        <v>52959</v>
      </c>
      <c r="J46" s="50">
        <f t="shared" si="2"/>
        <v>77616.5</v>
      </c>
      <c r="K46" s="49">
        <f>900834.5-D46-E46-F46-G46-H46-I46-J46</f>
        <v>232317.5</v>
      </c>
      <c r="L46" s="10"/>
      <c r="M46" s="10"/>
      <c r="N46" s="10"/>
      <c r="O46" s="10"/>
    </row>
    <row r="47" spans="1:15" ht="16.5">
      <c r="A47" s="58" t="s">
        <v>32</v>
      </c>
      <c r="B47" s="58"/>
      <c r="C47" s="18">
        <v>30000</v>
      </c>
      <c r="D47" s="18">
        <f>150563</f>
        <v>150563</v>
      </c>
      <c r="E47" s="18">
        <v>3000</v>
      </c>
      <c r="F47" s="18">
        <f>13600+250+250</f>
        <v>14100</v>
      </c>
      <c r="G47" s="18">
        <f>1500+250+250+1800</f>
        <v>3800</v>
      </c>
      <c r="H47" s="18">
        <f>250+250+186510</f>
        <v>187010</v>
      </c>
      <c r="I47" s="18">
        <f>1250</f>
        <v>1250</v>
      </c>
      <c r="J47" s="18">
        <f>250+500</f>
        <v>750</v>
      </c>
      <c r="K47" s="18">
        <f>C47-D47-E47-F47-G47-H47-I47-J47</f>
        <v>-330473</v>
      </c>
      <c r="L47" s="57" t="s">
        <v>81</v>
      </c>
      <c r="M47" s="57"/>
      <c r="N47" s="1"/>
      <c r="O47" s="1"/>
    </row>
    <row r="48" spans="1:15" ht="16.5">
      <c r="A48" s="62" t="s">
        <v>33</v>
      </c>
      <c r="B48" s="62"/>
      <c r="C48" s="49">
        <f>C46-C47</f>
        <v>870834.5</v>
      </c>
      <c r="D48" s="49">
        <f aca="true" t="shared" si="3" ref="D48:J48">D46</f>
        <v>76552</v>
      </c>
      <c r="E48" s="49">
        <f t="shared" si="3"/>
        <v>67464</v>
      </c>
      <c r="F48" s="49">
        <f t="shared" si="3"/>
        <v>68899</v>
      </c>
      <c r="G48" s="49">
        <f t="shared" si="3"/>
        <v>86103.5</v>
      </c>
      <c r="H48" s="49">
        <f t="shared" si="3"/>
        <v>238923</v>
      </c>
      <c r="I48" s="49">
        <f t="shared" si="3"/>
        <v>52959</v>
      </c>
      <c r="J48" s="49">
        <f t="shared" si="3"/>
        <v>77616.5</v>
      </c>
      <c r="K48" s="49">
        <f>870834.5-D48-E48-F48-G48-H48-I48-J48</f>
        <v>202317.5</v>
      </c>
      <c r="L48" s="20">
        <f>C48/50</f>
        <v>17416.69</v>
      </c>
      <c r="M48" s="27">
        <v>50</v>
      </c>
      <c r="N48" s="1"/>
      <c r="O48" s="1"/>
    </row>
    <row r="49" spans="1:15" ht="16.5">
      <c r="A49" s="1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1"/>
      <c r="M49" s="1"/>
      <c r="N49" s="1"/>
      <c r="O49" s="1"/>
    </row>
    <row r="50" spans="1:15" ht="16.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6.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6.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6.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6.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6.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6.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6.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6.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.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6.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6.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6.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6.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6.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6.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6.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6.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6.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6.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6.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6.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6.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6.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6.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6.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6.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6.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6.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6.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6.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6.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6.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6.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6.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6.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6.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6.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6.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6.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6.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6.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6.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6.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6.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6.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6.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6.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6.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6.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6.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6.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6.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6.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6.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6.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6.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6.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6.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6.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6.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6.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6.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6.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6.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6.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6.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6.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6.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6.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6.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6.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6.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6.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6.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6.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6.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6.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6.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6.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6.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6.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6.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6.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6.5">
      <c r="A272" s="1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6.5">
      <c r="A273" s="1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6.5">
      <c r="A274" s="1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6.5">
      <c r="A275" s="1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6.5">
      <c r="A276" s="1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6.5">
      <c r="A277" s="1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6.5">
      <c r="A278" s="1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6.5">
      <c r="A279" s="1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</sheetData>
  <sheetProtection/>
  <mergeCells count="32">
    <mergeCell ref="A48:B48"/>
    <mergeCell ref="A3:B3"/>
    <mergeCell ref="A19:B19"/>
    <mergeCell ref="A37:B37"/>
    <mergeCell ref="A30:B30"/>
    <mergeCell ref="L11:M11"/>
    <mergeCell ref="L12:M12"/>
    <mergeCell ref="L6:M6"/>
    <mergeCell ref="L7:M7"/>
    <mergeCell ref="L1:M1"/>
    <mergeCell ref="L3:M3"/>
    <mergeCell ref="L4:M4"/>
    <mergeCell ref="L5:M5"/>
    <mergeCell ref="L2:M2"/>
    <mergeCell ref="L36:M36"/>
    <mergeCell ref="L34:M34"/>
    <mergeCell ref="L13:M13"/>
    <mergeCell ref="L14:M14"/>
    <mergeCell ref="L15:M15"/>
    <mergeCell ref="L16:M16"/>
    <mergeCell ref="L8:M8"/>
    <mergeCell ref="L17:M17"/>
    <mergeCell ref="L18:M18"/>
    <mergeCell ref="L9:M9"/>
    <mergeCell ref="L10:M10"/>
    <mergeCell ref="L47:M47"/>
    <mergeCell ref="A47:B47"/>
    <mergeCell ref="L38:M38"/>
    <mergeCell ref="L40:M40"/>
    <mergeCell ref="L41:M41"/>
    <mergeCell ref="L42:M42"/>
    <mergeCell ref="L39:M39"/>
  </mergeCells>
  <printOptions gridLines="1" horizontalCentered="1" verticalCentered="1"/>
  <pageMargins left="0.23" right="0.3" top="0.82" bottom="1" header="0.4" footer="0.5"/>
  <pageSetup horizontalDpi="300" verticalDpi="300" orientation="landscape"/>
  <headerFooter alignWithMargins="0">
    <oddHeader xml:space="preserve">&amp;C&amp;"Georgia,Regular"&amp;15One Year Running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1999-12-31T19:07:00Z</cp:lastPrinted>
  <dcterms:created xsi:type="dcterms:W3CDTF">2007-11-29T17:33:41Z</dcterms:created>
  <dcterms:modified xsi:type="dcterms:W3CDTF">2011-10-16T23:29:06Z</dcterms:modified>
  <cp:category/>
  <cp:version/>
  <cp:contentType/>
  <cp:contentStatus/>
</cp:coreProperties>
</file>